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ontoski\Desktop\CD Updates\Subscriptions\ADDITIONS\2018\October 2018\Additions formatted for CustSat\"/>
    </mc:Choice>
  </mc:AlternateContent>
  <bookViews>
    <workbookView xWindow="0" yWindow="0" windowWidth="23040" windowHeight="9072"/>
  </bookViews>
  <sheets>
    <sheet name="Titles" sheetId="1" r:id="rId1"/>
  </sheets>
  <calcPr calcId="152511"/>
</workbook>
</file>

<file path=xl/calcChain.xml><?xml version="1.0" encoding="utf-8"?>
<calcChain xmlns="http://schemas.openxmlformats.org/spreadsheetml/2006/main">
  <c r="S1625" i="1" l="1"/>
  <c r="R1625" i="1"/>
  <c r="N1625" i="1"/>
  <c r="R2" i="1" l="1"/>
  <c r="S2" i="1"/>
  <c r="R3" i="1"/>
  <c r="S3" i="1"/>
  <c r="R4" i="1"/>
  <c r="S4" i="1"/>
  <c r="N5" i="1"/>
  <c r="R5" i="1"/>
  <c r="S5" i="1"/>
  <c r="R6" i="1"/>
  <c r="S6" i="1"/>
  <c r="N7" i="1"/>
  <c r="R7" i="1"/>
  <c r="S7" i="1"/>
  <c r="N8" i="1"/>
  <c r="R8" i="1"/>
  <c r="S8" i="1"/>
  <c r="N9" i="1"/>
  <c r="R9" i="1"/>
  <c r="S9" i="1"/>
  <c r="N10" i="1"/>
  <c r="R10" i="1"/>
  <c r="S10" i="1"/>
  <c r="N11" i="1"/>
  <c r="R11" i="1"/>
  <c r="S11" i="1"/>
  <c r="N12" i="1"/>
  <c r="R12" i="1"/>
  <c r="S12" i="1"/>
  <c r="R13" i="1"/>
  <c r="S13" i="1"/>
  <c r="N14" i="1"/>
  <c r="R14" i="1"/>
  <c r="S14" i="1"/>
  <c r="N15" i="1"/>
  <c r="R15" i="1"/>
  <c r="S15" i="1"/>
  <c r="N16" i="1"/>
  <c r="R16" i="1"/>
  <c r="S16" i="1"/>
  <c r="N17" i="1"/>
  <c r="R17" i="1"/>
  <c r="S17" i="1"/>
  <c r="N18" i="1"/>
  <c r="R18" i="1"/>
  <c r="S18" i="1"/>
  <c r="N19" i="1"/>
  <c r="R19" i="1"/>
  <c r="S19" i="1"/>
  <c r="N20" i="1"/>
  <c r="R20" i="1"/>
  <c r="S20" i="1"/>
  <c r="N21" i="1"/>
  <c r="R21" i="1"/>
  <c r="S21" i="1"/>
  <c r="N22" i="1"/>
  <c r="R22" i="1"/>
  <c r="S22" i="1"/>
  <c r="N23" i="1"/>
  <c r="R23" i="1"/>
  <c r="S23" i="1"/>
  <c r="N24" i="1"/>
  <c r="R24" i="1"/>
  <c r="S24" i="1"/>
  <c r="N25" i="1"/>
  <c r="R25" i="1"/>
  <c r="S25" i="1"/>
  <c r="N26" i="1"/>
  <c r="R26" i="1"/>
  <c r="S26" i="1"/>
  <c r="N27" i="1"/>
  <c r="R27" i="1"/>
  <c r="S27" i="1"/>
  <c r="N28" i="1"/>
  <c r="R28" i="1"/>
  <c r="S28" i="1"/>
  <c r="N29" i="1"/>
  <c r="R29" i="1"/>
  <c r="S29" i="1"/>
  <c r="N30" i="1"/>
  <c r="R30" i="1"/>
  <c r="S30" i="1"/>
  <c r="N31" i="1"/>
  <c r="R31" i="1"/>
  <c r="S31" i="1"/>
  <c r="N32" i="1"/>
  <c r="R32" i="1"/>
  <c r="S32" i="1"/>
  <c r="N33" i="1"/>
  <c r="R33" i="1"/>
  <c r="S33" i="1"/>
  <c r="N34" i="1"/>
  <c r="R34" i="1"/>
  <c r="S34" i="1"/>
  <c r="N35" i="1"/>
  <c r="R35" i="1"/>
  <c r="S35" i="1"/>
  <c r="N36" i="1"/>
  <c r="R36" i="1"/>
  <c r="S36" i="1"/>
  <c r="N37" i="1"/>
  <c r="R37" i="1"/>
  <c r="S37" i="1"/>
  <c r="N38" i="1"/>
  <c r="R38" i="1"/>
  <c r="S38" i="1"/>
  <c r="N39" i="1"/>
  <c r="R39" i="1"/>
  <c r="S39" i="1"/>
  <c r="N40" i="1"/>
  <c r="R40" i="1"/>
  <c r="S40" i="1"/>
  <c r="N41" i="1"/>
  <c r="R41" i="1"/>
  <c r="S41" i="1"/>
  <c r="N42" i="1"/>
  <c r="R42" i="1"/>
  <c r="S42" i="1"/>
  <c r="N43" i="1"/>
  <c r="R43" i="1"/>
  <c r="S43" i="1"/>
  <c r="N44" i="1"/>
  <c r="R44" i="1"/>
  <c r="S44" i="1"/>
  <c r="N45" i="1"/>
  <c r="R45" i="1"/>
  <c r="S45" i="1"/>
  <c r="N46" i="1"/>
  <c r="R46" i="1"/>
  <c r="S46" i="1"/>
  <c r="N47" i="1"/>
  <c r="R47" i="1"/>
  <c r="S47" i="1"/>
  <c r="N48" i="1"/>
  <c r="R48" i="1"/>
  <c r="S48" i="1"/>
  <c r="N49" i="1"/>
  <c r="R49" i="1"/>
  <c r="S49" i="1"/>
  <c r="N50" i="1"/>
  <c r="R50" i="1"/>
  <c r="S50" i="1"/>
  <c r="R51" i="1"/>
  <c r="S51" i="1"/>
  <c r="R52" i="1"/>
  <c r="S52" i="1"/>
  <c r="R53" i="1"/>
  <c r="S53" i="1"/>
  <c r="S54" i="1"/>
  <c r="R55" i="1"/>
  <c r="S55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N94" i="1"/>
  <c r="R94" i="1"/>
  <c r="S94" i="1"/>
  <c r="N95" i="1"/>
  <c r="R95" i="1"/>
  <c r="S95" i="1"/>
  <c r="R96" i="1"/>
  <c r="S96" i="1"/>
  <c r="R97" i="1"/>
  <c r="S97" i="1"/>
  <c r="R98" i="1"/>
  <c r="S98" i="1"/>
  <c r="R99" i="1"/>
  <c r="S99" i="1"/>
  <c r="N100" i="1"/>
  <c r="R100" i="1"/>
  <c r="S100" i="1"/>
  <c r="N101" i="1"/>
  <c r="R101" i="1"/>
  <c r="S101" i="1"/>
  <c r="N102" i="1"/>
  <c r="R102" i="1"/>
  <c r="S102" i="1"/>
  <c r="N103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N111" i="1"/>
  <c r="R111" i="1"/>
  <c r="S111" i="1"/>
  <c r="N112" i="1"/>
  <c r="R112" i="1"/>
  <c r="S112" i="1"/>
  <c r="N113" i="1"/>
  <c r="R113" i="1"/>
  <c r="S113" i="1"/>
  <c r="N114" i="1"/>
  <c r="R114" i="1"/>
  <c r="S114" i="1"/>
  <c r="N115" i="1"/>
  <c r="R115" i="1"/>
  <c r="S115" i="1"/>
  <c r="N116" i="1"/>
  <c r="R116" i="1"/>
  <c r="S116" i="1"/>
  <c r="N117" i="1"/>
  <c r="R117" i="1"/>
  <c r="S117" i="1"/>
  <c r="N118" i="1"/>
  <c r="R118" i="1"/>
  <c r="S118" i="1"/>
  <c r="N119" i="1"/>
  <c r="R119" i="1"/>
  <c r="S119" i="1"/>
  <c r="N120" i="1"/>
  <c r="R120" i="1"/>
  <c r="S120" i="1"/>
  <c r="N121" i="1"/>
  <c r="R121" i="1"/>
  <c r="S121" i="1"/>
  <c r="N122" i="1"/>
  <c r="R122" i="1"/>
  <c r="S122" i="1"/>
  <c r="N123" i="1"/>
  <c r="R123" i="1"/>
  <c r="S123" i="1"/>
  <c r="N124" i="1"/>
  <c r="R124" i="1"/>
  <c r="S124" i="1"/>
  <c r="N125" i="1"/>
  <c r="R125" i="1"/>
  <c r="S125" i="1"/>
  <c r="N126" i="1"/>
  <c r="R126" i="1"/>
  <c r="S126" i="1"/>
  <c r="N127" i="1"/>
  <c r="R127" i="1"/>
  <c r="S127" i="1"/>
  <c r="N128" i="1"/>
  <c r="R128" i="1"/>
  <c r="S128" i="1"/>
  <c r="N129" i="1"/>
  <c r="R129" i="1"/>
  <c r="S129" i="1"/>
  <c r="N130" i="1"/>
  <c r="R130" i="1"/>
  <c r="S130" i="1"/>
  <c r="N131" i="1"/>
  <c r="R131" i="1"/>
  <c r="S131" i="1"/>
  <c r="N132" i="1"/>
  <c r="R132" i="1"/>
  <c r="S132" i="1"/>
  <c r="N133" i="1"/>
  <c r="R133" i="1"/>
  <c r="S133" i="1"/>
  <c r="N134" i="1"/>
  <c r="R134" i="1"/>
  <c r="S134" i="1"/>
  <c r="N135" i="1"/>
  <c r="R135" i="1"/>
  <c r="S135" i="1"/>
  <c r="N136" i="1"/>
  <c r="R136" i="1"/>
  <c r="S136" i="1"/>
  <c r="N137" i="1"/>
  <c r="R137" i="1"/>
  <c r="S137" i="1"/>
  <c r="N138" i="1"/>
  <c r="R138" i="1"/>
  <c r="S138" i="1"/>
  <c r="N139" i="1"/>
  <c r="R139" i="1"/>
  <c r="S139" i="1"/>
  <c r="N140" i="1"/>
  <c r="R140" i="1"/>
  <c r="S140" i="1"/>
  <c r="N141" i="1"/>
  <c r="R141" i="1"/>
  <c r="S141" i="1"/>
  <c r="N142" i="1"/>
  <c r="R142" i="1"/>
  <c r="S142" i="1"/>
  <c r="N143" i="1"/>
  <c r="R143" i="1"/>
  <c r="S143" i="1"/>
  <c r="N144" i="1"/>
  <c r="R144" i="1"/>
  <c r="S144" i="1"/>
  <c r="N145" i="1"/>
  <c r="R145" i="1"/>
  <c r="S145" i="1"/>
  <c r="N146" i="1"/>
  <c r="R146" i="1"/>
  <c r="S146" i="1"/>
  <c r="N147" i="1"/>
  <c r="R147" i="1"/>
  <c r="S147" i="1"/>
  <c r="N148" i="1"/>
  <c r="R148" i="1"/>
  <c r="S148" i="1"/>
  <c r="N149" i="1"/>
  <c r="R149" i="1"/>
  <c r="S149" i="1"/>
  <c r="N150" i="1"/>
  <c r="R150" i="1"/>
  <c r="S150" i="1"/>
  <c r="N151" i="1"/>
  <c r="R151" i="1"/>
  <c r="S151" i="1"/>
  <c r="N152" i="1"/>
  <c r="R152" i="1"/>
  <c r="S152" i="1"/>
  <c r="N153" i="1"/>
  <c r="R153" i="1"/>
  <c r="S153" i="1"/>
  <c r="N154" i="1"/>
  <c r="R154" i="1"/>
  <c r="S154" i="1"/>
  <c r="N155" i="1"/>
  <c r="R155" i="1"/>
  <c r="S155" i="1"/>
  <c r="N156" i="1"/>
  <c r="R156" i="1"/>
  <c r="S156" i="1"/>
  <c r="N157" i="1"/>
  <c r="R157" i="1"/>
  <c r="S157" i="1"/>
  <c r="N158" i="1"/>
  <c r="R158" i="1"/>
  <c r="S158" i="1"/>
  <c r="N159" i="1"/>
  <c r="R159" i="1"/>
  <c r="S159" i="1"/>
  <c r="N160" i="1"/>
  <c r="R160" i="1"/>
  <c r="S160" i="1"/>
  <c r="N161" i="1"/>
  <c r="R161" i="1"/>
  <c r="S161" i="1"/>
  <c r="N162" i="1"/>
  <c r="R162" i="1"/>
  <c r="S162" i="1"/>
  <c r="N163" i="1"/>
  <c r="R163" i="1"/>
  <c r="S163" i="1"/>
  <c r="N164" i="1"/>
  <c r="R164" i="1"/>
  <c r="S164" i="1"/>
  <c r="N165" i="1"/>
  <c r="R165" i="1"/>
  <c r="S165" i="1"/>
  <c r="N166" i="1"/>
  <c r="R166" i="1"/>
  <c r="S166" i="1"/>
  <c r="S167" i="1"/>
  <c r="S168" i="1"/>
  <c r="R169" i="1"/>
  <c r="S169" i="1"/>
  <c r="R170" i="1"/>
  <c r="S170" i="1"/>
  <c r="N171" i="1"/>
  <c r="R171" i="1"/>
  <c r="S171" i="1"/>
  <c r="N172" i="1"/>
  <c r="R172" i="1"/>
  <c r="S172" i="1"/>
  <c r="N173" i="1"/>
  <c r="R173" i="1"/>
  <c r="S173" i="1"/>
  <c r="N174" i="1"/>
  <c r="R174" i="1"/>
  <c r="S174" i="1"/>
  <c r="N175" i="1"/>
  <c r="R175" i="1"/>
  <c r="S175" i="1"/>
  <c r="N176" i="1"/>
  <c r="R176" i="1"/>
  <c r="S176" i="1"/>
  <c r="N177" i="1"/>
  <c r="R177" i="1"/>
  <c r="S177" i="1"/>
  <c r="N178" i="1"/>
  <c r="R178" i="1"/>
  <c r="S178" i="1"/>
  <c r="N179" i="1"/>
  <c r="R179" i="1"/>
  <c r="S179" i="1"/>
  <c r="N180" i="1"/>
  <c r="R180" i="1"/>
  <c r="S180" i="1"/>
  <c r="N181" i="1"/>
  <c r="R181" i="1"/>
  <c r="S181" i="1"/>
  <c r="N182" i="1"/>
  <c r="R182" i="1"/>
  <c r="S182" i="1"/>
  <c r="N183" i="1"/>
  <c r="R183" i="1"/>
  <c r="S183" i="1"/>
  <c r="N184" i="1"/>
  <c r="R184" i="1"/>
  <c r="S184" i="1"/>
  <c r="N185" i="1"/>
  <c r="R185" i="1"/>
  <c r="S185" i="1"/>
  <c r="N186" i="1"/>
  <c r="R186" i="1"/>
  <c r="S186" i="1"/>
  <c r="N187" i="1"/>
  <c r="R187" i="1"/>
  <c r="S187" i="1"/>
  <c r="N188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N202" i="1"/>
  <c r="R202" i="1"/>
  <c r="S202" i="1"/>
  <c r="N203" i="1"/>
  <c r="R203" i="1"/>
  <c r="S203" i="1"/>
  <c r="N204" i="1"/>
  <c r="R204" i="1"/>
  <c r="S204" i="1"/>
  <c r="N205" i="1"/>
  <c r="R205" i="1"/>
  <c r="S205" i="1"/>
  <c r="N206" i="1"/>
  <c r="R206" i="1"/>
  <c r="S206" i="1"/>
  <c r="N207" i="1"/>
  <c r="R207" i="1"/>
  <c r="S207" i="1"/>
  <c r="N208" i="1"/>
  <c r="R208" i="1"/>
  <c r="S208" i="1"/>
  <c r="N209" i="1"/>
  <c r="R209" i="1"/>
  <c r="S209" i="1"/>
  <c r="N210" i="1"/>
  <c r="R210" i="1"/>
  <c r="S210" i="1"/>
  <c r="N211" i="1"/>
  <c r="R211" i="1"/>
  <c r="S211" i="1"/>
  <c r="N212" i="1"/>
  <c r="R212" i="1"/>
  <c r="S212" i="1"/>
  <c r="N213" i="1"/>
  <c r="R213" i="1"/>
  <c r="S213" i="1"/>
  <c r="N214" i="1"/>
  <c r="R214" i="1"/>
  <c r="S214" i="1"/>
  <c r="N215" i="1"/>
  <c r="R215" i="1"/>
  <c r="S215" i="1"/>
  <c r="N216" i="1"/>
  <c r="R216" i="1"/>
  <c r="S216" i="1"/>
  <c r="N217" i="1"/>
  <c r="R217" i="1"/>
  <c r="S217" i="1"/>
  <c r="N218" i="1"/>
  <c r="R218" i="1"/>
  <c r="S218" i="1"/>
  <c r="N219" i="1"/>
  <c r="R219" i="1"/>
  <c r="S219" i="1"/>
  <c r="N220" i="1"/>
  <c r="R220" i="1"/>
  <c r="S220" i="1"/>
  <c r="N221" i="1"/>
  <c r="R221" i="1"/>
  <c r="S221" i="1"/>
  <c r="N222" i="1"/>
  <c r="R222" i="1"/>
  <c r="S222" i="1"/>
  <c r="N223" i="1"/>
  <c r="R223" i="1"/>
  <c r="S223" i="1"/>
  <c r="N224" i="1"/>
  <c r="R224" i="1"/>
  <c r="S224" i="1"/>
  <c r="N225" i="1"/>
  <c r="R225" i="1"/>
  <c r="S225" i="1"/>
  <c r="N226" i="1"/>
  <c r="R226" i="1"/>
  <c r="S226" i="1"/>
  <c r="N227" i="1"/>
  <c r="R227" i="1"/>
  <c r="S227" i="1"/>
  <c r="N228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N235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N243" i="1"/>
  <c r="R243" i="1"/>
  <c r="S243" i="1"/>
  <c r="N244" i="1"/>
  <c r="R244" i="1"/>
  <c r="S244" i="1"/>
  <c r="N245" i="1"/>
  <c r="R245" i="1"/>
  <c r="S245" i="1"/>
  <c r="N246" i="1"/>
  <c r="R246" i="1"/>
  <c r="S246" i="1"/>
  <c r="N247" i="1"/>
  <c r="R247" i="1"/>
  <c r="S247" i="1"/>
  <c r="R248" i="1"/>
  <c r="S248" i="1"/>
  <c r="N249" i="1"/>
  <c r="R249" i="1"/>
  <c r="S249" i="1"/>
  <c r="N250" i="1"/>
  <c r="R250" i="1"/>
  <c r="S250" i="1"/>
  <c r="N251" i="1"/>
  <c r="R251" i="1"/>
  <c r="S251" i="1"/>
  <c r="N252" i="1"/>
  <c r="R252" i="1"/>
  <c r="S252" i="1"/>
  <c r="N253" i="1"/>
  <c r="R253" i="1"/>
  <c r="S253" i="1"/>
  <c r="N254" i="1"/>
  <c r="R254" i="1"/>
  <c r="S254" i="1"/>
  <c r="N255" i="1"/>
  <c r="R255" i="1"/>
  <c r="S255" i="1"/>
  <c r="N256" i="1"/>
  <c r="R256" i="1"/>
  <c r="S256" i="1"/>
  <c r="N257" i="1"/>
  <c r="R257" i="1"/>
  <c r="S257" i="1"/>
  <c r="N258" i="1"/>
  <c r="R258" i="1"/>
  <c r="S258" i="1"/>
  <c r="N259" i="1"/>
  <c r="R259" i="1"/>
  <c r="S259" i="1"/>
  <c r="N260" i="1"/>
  <c r="R260" i="1"/>
  <c r="S260" i="1"/>
  <c r="N261" i="1"/>
  <c r="R261" i="1"/>
  <c r="S261" i="1"/>
  <c r="N262" i="1"/>
  <c r="R262" i="1"/>
  <c r="S262" i="1"/>
  <c r="N263" i="1"/>
  <c r="R263" i="1"/>
  <c r="S263" i="1"/>
  <c r="N264" i="1"/>
  <c r="R264" i="1"/>
  <c r="S264" i="1"/>
  <c r="N265" i="1"/>
  <c r="R265" i="1"/>
  <c r="S265" i="1"/>
  <c r="N266" i="1"/>
  <c r="R266" i="1"/>
  <c r="S266" i="1"/>
  <c r="N267" i="1"/>
  <c r="R267" i="1"/>
  <c r="S267" i="1"/>
  <c r="N268" i="1"/>
  <c r="R268" i="1"/>
  <c r="S268" i="1"/>
  <c r="N269" i="1"/>
  <c r="R269" i="1"/>
  <c r="S269" i="1"/>
  <c r="N270" i="1"/>
  <c r="R270" i="1"/>
  <c r="S270" i="1"/>
  <c r="N271" i="1"/>
  <c r="R271" i="1"/>
  <c r="S271" i="1"/>
  <c r="N272" i="1"/>
  <c r="R272" i="1"/>
  <c r="S272" i="1"/>
  <c r="N273" i="1"/>
  <c r="R273" i="1"/>
  <c r="S273" i="1"/>
  <c r="N274" i="1"/>
  <c r="R274" i="1"/>
  <c r="S274" i="1"/>
  <c r="N275" i="1"/>
  <c r="R275" i="1"/>
  <c r="S275" i="1"/>
  <c r="N276" i="1"/>
  <c r="R276" i="1"/>
  <c r="S276" i="1"/>
  <c r="R277" i="1"/>
  <c r="S277" i="1"/>
  <c r="N278" i="1"/>
  <c r="R278" i="1"/>
  <c r="S278" i="1"/>
  <c r="N279" i="1"/>
  <c r="R279" i="1"/>
  <c r="S279" i="1"/>
  <c r="S280" i="1"/>
  <c r="R281" i="1"/>
  <c r="S281" i="1"/>
  <c r="R282" i="1"/>
  <c r="S282" i="1"/>
  <c r="R283" i="1"/>
  <c r="S283" i="1"/>
  <c r="R284" i="1"/>
  <c r="S284" i="1"/>
  <c r="R285" i="1"/>
  <c r="S285" i="1"/>
  <c r="N286" i="1"/>
  <c r="R286" i="1"/>
  <c r="S286" i="1"/>
  <c r="R287" i="1"/>
  <c r="S287" i="1"/>
  <c r="R288" i="1"/>
  <c r="S288" i="1"/>
  <c r="N289" i="1"/>
  <c r="R289" i="1"/>
  <c r="S289" i="1"/>
  <c r="N290" i="1"/>
  <c r="R290" i="1"/>
  <c r="S290" i="1"/>
  <c r="R291" i="1"/>
  <c r="S291" i="1"/>
  <c r="R292" i="1"/>
  <c r="S292" i="1"/>
  <c r="N293" i="1"/>
  <c r="R293" i="1"/>
  <c r="S293" i="1"/>
  <c r="N294" i="1"/>
  <c r="R294" i="1"/>
  <c r="S294" i="1"/>
  <c r="N295" i="1"/>
  <c r="R295" i="1"/>
  <c r="S295" i="1"/>
  <c r="N296" i="1"/>
  <c r="R296" i="1"/>
  <c r="S296" i="1"/>
  <c r="N297" i="1"/>
  <c r="R297" i="1"/>
  <c r="S297" i="1"/>
  <c r="N298" i="1"/>
  <c r="R298" i="1"/>
  <c r="S298" i="1"/>
  <c r="N299" i="1"/>
  <c r="R299" i="1"/>
  <c r="S299" i="1"/>
  <c r="N300" i="1"/>
  <c r="R300" i="1"/>
  <c r="S300" i="1"/>
  <c r="N301" i="1"/>
  <c r="R301" i="1"/>
  <c r="S301" i="1"/>
  <c r="N302" i="1"/>
  <c r="R302" i="1"/>
  <c r="S302" i="1"/>
  <c r="N303" i="1"/>
  <c r="R303" i="1"/>
  <c r="S303" i="1"/>
  <c r="N304" i="1"/>
  <c r="R304" i="1"/>
  <c r="S304" i="1"/>
  <c r="N305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N312" i="1"/>
  <c r="R312" i="1"/>
  <c r="S312" i="1"/>
  <c r="R313" i="1"/>
  <c r="S313" i="1"/>
  <c r="R314" i="1"/>
  <c r="S314" i="1"/>
  <c r="R315" i="1"/>
  <c r="S315" i="1"/>
  <c r="N316" i="1"/>
  <c r="R316" i="1"/>
  <c r="S316" i="1"/>
  <c r="N317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N323" i="1"/>
  <c r="R323" i="1"/>
  <c r="S323" i="1"/>
  <c r="R324" i="1"/>
  <c r="S324" i="1"/>
  <c r="R325" i="1"/>
  <c r="S325" i="1"/>
  <c r="N326" i="1"/>
  <c r="R326" i="1"/>
  <c r="S326" i="1"/>
  <c r="R327" i="1"/>
  <c r="S327" i="1"/>
  <c r="R328" i="1"/>
  <c r="S328" i="1"/>
  <c r="R329" i="1"/>
  <c r="S329" i="1"/>
  <c r="R330" i="1"/>
  <c r="S330" i="1"/>
  <c r="N331" i="1"/>
  <c r="R331" i="1"/>
  <c r="S331" i="1"/>
  <c r="R332" i="1"/>
  <c r="S332" i="1"/>
  <c r="R333" i="1"/>
  <c r="S333" i="1"/>
  <c r="R334" i="1"/>
  <c r="S334" i="1"/>
  <c r="N335" i="1"/>
  <c r="R335" i="1"/>
  <c r="S335" i="1"/>
  <c r="N336" i="1"/>
  <c r="R336" i="1"/>
  <c r="S336" i="1"/>
  <c r="N337" i="1"/>
  <c r="R337" i="1"/>
  <c r="S337" i="1"/>
  <c r="N338" i="1"/>
  <c r="R338" i="1"/>
  <c r="S338" i="1"/>
  <c r="S339" i="1"/>
  <c r="R340" i="1"/>
  <c r="S340" i="1"/>
  <c r="R341" i="1"/>
  <c r="S341" i="1"/>
  <c r="R342" i="1"/>
  <c r="S342" i="1"/>
  <c r="N343" i="1"/>
  <c r="R343" i="1"/>
  <c r="S343" i="1"/>
  <c r="N344" i="1"/>
  <c r="R344" i="1"/>
  <c r="S344" i="1"/>
  <c r="S345" i="1"/>
  <c r="N346" i="1"/>
  <c r="R346" i="1"/>
  <c r="S346" i="1"/>
  <c r="N347" i="1"/>
  <c r="R347" i="1"/>
  <c r="S347" i="1"/>
  <c r="N348" i="1"/>
  <c r="R348" i="1"/>
  <c r="S348" i="1"/>
  <c r="N349" i="1"/>
  <c r="R349" i="1"/>
  <c r="S349" i="1"/>
  <c r="N350" i="1"/>
  <c r="R350" i="1"/>
  <c r="S350" i="1"/>
  <c r="N351" i="1"/>
  <c r="R351" i="1"/>
  <c r="S351" i="1"/>
  <c r="N352" i="1"/>
  <c r="R352" i="1"/>
  <c r="S352" i="1"/>
  <c r="R353" i="1"/>
  <c r="S353" i="1"/>
  <c r="N354" i="1"/>
  <c r="R354" i="1"/>
  <c r="S354" i="1"/>
  <c r="N355" i="1"/>
  <c r="R355" i="1"/>
  <c r="S355" i="1"/>
  <c r="N356" i="1"/>
  <c r="R356" i="1"/>
  <c r="S356" i="1"/>
  <c r="N357" i="1"/>
  <c r="R357" i="1"/>
  <c r="S357" i="1"/>
  <c r="N358" i="1"/>
  <c r="R358" i="1"/>
  <c r="S358" i="1"/>
  <c r="N359" i="1"/>
  <c r="R359" i="1"/>
  <c r="S359" i="1"/>
  <c r="N360" i="1"/>
  <c r="R360" i="1"/>
  <c r="S360" i="1"/>
  <c r="N361" i="1"/>
  <c r="R361" i="1"/>
  <c r="S361" i="1"/>
  <c r="N362" i="1"/>
  <c r="R362" i="1"/>
  <c r="S362" i="1"/>
  <c r="N363" i="1"/>
  <c r="R363" i="1"/>
  <c r="S363" i="1"/>
  <c r="N364" i="1"/>
  <c r="R364" i="1"/>
  <c r="S364" i="1"/>
  <c r="N365" i="1"/>
  <c r="R365" i="1"/>
  <c r="S365" i="1"/>
  <c r="N366" i="1"/>
  <c r="R366" i="1"/>
  <c r="S366" i="1"/>
  <c r="N367" i="1"/>
  <c r="R367" i="1"/>
  <c r="S367" i="1"/>
  <c r="N368" i="1"/>
  <c r="R368" i="1"/>
  <c r="S368" i="1"/>
  <c r="N369" i="1"/>
  <c r="R369" i="1"/>
  <c r="S369" i="1"/>
  <c r="N370" i="1"/>
  <c r="R370" i="1"/>
  <c r="S370" i="1"/>
  <c r="N371" i="1"/>
  <c r="R371" i="1"/>
  <c r="S371" i="1"/>
  <c r="N372" i="1"/>
  <c r="R372" i="1"/>
  <c r="S372" i="1"/>
  <c r="N373" i="1"/>
  <c r="R373" i="1"/>
  <c r="S373" i="1"/>
  <c r="N374" i="1"/>
  <c r="R374" i="1"/>
  <c r="S374" i="1"/>
  <c r="N375" i="1"/>
  <c r="R375" i="1"/>
  <c r="S375" i="1"/>
  <c r="N376" i="1"/>
  <c r="R376" i="1"/>
  <c r="S376" i="1"/>
  <c r="N377" i="1"/>
  <c r="R377" i="1"/>
  <c r="S377" i="1"/>
  <c r="N378" i="1"/>
  <c r="R378" i="1"/>
  <c r="S378" i="1"/>
  <c r="N379" i="1"/>
  <c r="R379" i="1"/>
  <c r="S379" i="1"/>
  <c r="N380" i="1"/>
  <c r="R380" i="1"/>
  <c r="S380" i="1"/>
  <c r="N381" i="1"/>
  <c r="R381" i="1"/>
  <c r="S381" i="1"/>
  <c r="N382" i="1"/>
  <c r="R382" i="1"/>
  <c r="S382" i="1"/>
  <c r="N383" i="1"/>
  <c r="R383" i="1"/>
  <c r="S383" i="1"/>
  <c r="N384" i="1"/>
  <c r="R384" i="1"/>
  <c r="S384" i="1"/>
  <c r="N385" i="1"/>
  <c r="R385" i="1"/>
  <c r="S385" i="1"/>
  <c r="N386" i="1"/>
  <c r="R386" i="1"/>
  <c r="S386" i="1"/>
  <c r="N387" i="1"/>
  <c r="R387" i="1"/>
  <c r="S387" i="1"/>
  <c r="N388" i="1"/>
  <c r="R388" i="1"/>
  <c r="S388" i="1"/>
  <c r="N389" i="1"/>
  <c r="R389" i="1"/>
  <c r="S389" i="1"/>
  <c r="N390" i="1"/>
  <c r="R390" i="1"/>
  <c r="S390" i="1"/>
  <c r="N391" i="1"/>
  <c r="R391" i="1"/>
  <c r="S391" i="1"/>
  <c r="N392" i="1"/>
  <c r="R392" i="1"/>
  <c r="S392" i="1"/>
  <c r="N393" i="1"/>
  <c r="R393" i="1"/>
  <c r="S393" i="1"/>
  <c r="N394" i="1"/>
  <c r="R394" i="1"/>
  <c r="S394" i="1"/>
  <c r="N395" i="1"/>
  <c r="R395" i="1"/>
  <c r="S395" i="1"/>
  <c r="N396" i="1"/>
  <c r="R396" i="1"/>
  <c r="S396" i="1"/>
  <c r="N397" i="1"/>
  <c r="R397" i="1"/>
  <c r="S397" i="1"/>
  <c r="N398" i="1"/>
  <c r="R398" i="1"/>
  <c r="S398" i="1"/>
  <c r="N399" i="1"/>
  <c r="R399" i="1"/>
  <c r="S399" i="1"/>
  <c r="N400" i="1"/>
  <c r="R400" i="1"/>
  <c r="S400" i="1"/>
  <c r="N401" i="1"/>
  <c r="R401" i="1"/>
  <c r="S401" i="1"/>
  <c r="N402" i="1"/>
  <c r="R402" i="1"/>
  <c r="S402" i="1"/>
  <c r="N403" i="1"/>
  <c r="R403" i="1"/>
  <c r="S403" i="1"/>
  <c r="N404" i="1"/>
  <c r="R404" i="1"/>
  <c r="S404" i="1"/>
  <c r="N405" i="1"/>
  <c r="R405" i="1"/>
  <c r="S405" i="1"/>
  <c r="N406" i="1"/>
  <c r="R406" i="1"/>
  <c r="S406" i="1"/>
  <c r="N407" i="1"/>
  <c r="R407" i="1"/>
  <c r="S407" i="1"/>
  <c r="N408" i="1"/>
  <c r="R408" i="1"/>
  <c r="S408" i="1"/>
  <c r="N409" i="1"/>
  <c r="R409" i="1"/>
  <c r="S409" i="1"/>
  <c r="N410" i="1"/>
  <c r="R410" i="1"/>
  <c r="S410" i="1"/>
  <c r="N411" i="1"/>
  <c r="R411" i="1"/>
  <c r="S411" i="1"/>
  <c r="N412" i="1"/>
  <c r="R412" i="1"/>
  <c r="S412" i="1"/>
  <c r="N413" i="1"/>
  <c r="R413" i="1"/>
  <c r="S413" i="1"/>
  <c r="N414" i="1"/>
  <c r="R414" i="1"/>
  <c r="S414" i="1"/>
  <c r="N415" i="1"/>
  <c r="R415" i="1"/>
  <c r="S415" i="1"/>
  <c r="N416" i="1"/>
  <c r="R416" i="1"/>
  <c r="S416" i="1"/>
  <c r="N417" i="1"/>
  <c r="R417" i="1"/>
  <c r="S417" i="1"/>
  <c r="N418" i="1"/>
  <c r="R418" i="1"/>
  <c r="S418" i="1"/>
  <c r="N419" i="1"/>
  <c r="R419" i="1"/>
  <c r="S419" i="1"/>
  <c r="N420" i="1"/>
  <c r="R420" i="1"/>
  <c r="S420" i="1"/>
  <c r="N421" i="1"/>
  <c r="R421" i="1"/>
  <c r="S421" i="1"/>
  <c r="N422" i="1"/>
  <c r="R422" i="1"/>
  <c r="S422" i="1"/>
  <c r="N423" i="1"/>
  <c r="R423" i="1"/>
  <c r="S423" i="1"/>
  <c r="N424" i="1"/>
  <c r="R424" i="1"/>
  <c r="S424" i="1"/>
  <c r="N425" i="1"/>
  <c r="R425" i="1"/>
  <c r="S425" i="1"/>
  <c r="N426" i="1"/>
  <c r="R426" i="1"/>
  <c r="S426" i="1"/>
  <c r="N427" i="1"/>
  <c r="R427" i="1"/>
  <c r="S427" i="1"/>
  <c r="N428" i="1"/>
  <c r="R428" i="1"/>
  <c r="S428" i="1"/>
  <c r="N429" i="1"/>
  <c r="R429" i="1"/>
  <c r="S429" i="1"/>
  <c r="N430" i="1"/>
  <c r="R430" i="1"/>
  <c r="S430" i="1"/>
  <c r="N431" i="1"/>
  <c r="R431" i="1"/>
  <c r="S431" i="1"/>
  <c r="N432" i="1"/>
  <c r="R432" i="1"/>
  <c r="S432" i="1"/>
  <c r="N433" i="1"/>
  <c r="R433" i="1"/>
  <c r="S433" i="1"/>
  <c r="N434" i="1"/>
  <c r="R434" i="1"/>
  <c r="S434" i="1"/>
  <c r="N435" i="1"/>
  <c r="R435" i="1"/>
  <c r="S435" i="1"/>
  <c r="N436" i="1"/>
  <c r="R436" i="1"/>
  <c r="S436" i="1"/>
  <c r="N437" i="1"/>
  <c r="R437" i="1"/>
  <c r="S437" i="1"/>
  <c r="N438" i="1"/>
  <c r="R438" i="1"/>
  <c r="S438" i="1"/>
  <c r="N439" i="1"/>
  <c r="R439" i="1"/>
  <c r="S439" i="1"/>
  <c r="N440" i="1"/>
  <c r="R440" i="1"/>
  <c r="S440" i="1"/>
  <c r="N441" i="1"/>
  <c r="R441" i="1"/>
  <c r="S441" i="1"/>
  <c r="N442" i="1"/>
  <c r="R442" i="1"/>
  <c r="S442" i="1"/>
  <c r="N443" i="1"/>
  <c r="R443" i="1"/>
  <c r="S443" i="1"/>
  <c r="N444" i="1"/>
  <c r="R444" i="1"/>
  <c r="S444" i="1"/>
  <c r="N445" i="1"/>
  <c r="R445" i="1"/>
  <c r="S445" i="1"/>
  <c r="N446" i="1"/>
  <c r="R446" i="1"/>
  <c r="S446" i="1"/>
  <c r="N447" i="1"/>
  <c r="R447" i="1"/>
  <c r="S447" i="1"/>
  <c r="N448" i="1"/>
  <c r="R448" i="1"/>
  <c r="S448" i="1"/>
  <c r="N449" i="1"/>
  <c r="R449" i="1"/>
  <c r="S449" i="1"/>
  <c r="N450" i="1"/>
  <c r="R450" i="1"/>
  <c r="S450" i="1"/>
  <c r="N451" i="1"/>
  <c r="R451" i="1"/>
  <c r="S451" i="1"/>
  <c r="N452" i="1"/>
  <c r="R452" i="1"/>
  <c r="S452" i="1"/>
  <c r="N453" i="1"/>
  <c r="R453" i="1"/>
  <c r="S453" i="1"/>
  <c r="N454" i="1"/>
  <c r="R454" i="1"/>
  <c r="S454" i="1"/>
  <c r="N455" i="1"/>
  <c r="R455" i="1"/>
  <c r="S455" i="1"/>
  <c r="N456" i="1"/>
  <c r="R456" i="1"/>
  <c r="S456" i="1"/>
  <c r="N457" i="1"/>
  <c r="R457" i="1"/>
  <c r="S457" i="1"/>
  <c r="N458" i="1"/>
  <c r="R458" i="1"/>
  <c r="S458" i="1"/>
  <c r="N459" i="1"/>
  <c r="R459" i="1"/>
  <c r="S459" i="1"/>
  <c r="N460" i="1"/>
  <c r="R460" i="1"/>
  <c r="S460" i="1"/>
  <c r="N461" i="1"/>
  <c r="R461" i="1"/>
  <c r="S461" i="1"/>
  <c r="N462" i="1"/>
  <c r="R462" i="1"/>
  <c r="S462" i="1"/>
  <c r="N463" i="1"/>
  <c r="R463" i="1"/>
  <c r="S463" i="1"/>
  <c r="N464" i="1"/>
  <c r="R464" i="1"/>
  <c r="S464" i="1"/>
  <c r="N465" i="1"/>
  <c r="R465" i="1"/>
  <c r="S465" i="1"/>
  <c r="N466" i="1"/>
  <c r="R466" i="1"/>
  <c r="S466" i="1"/>
  <c r="R467" i="1"/>
  <c r="S467" i="1"/>
  <c r="N468" i="1"/>
  <c r="R468" i="1"/>
  <c r="S468" i="1"/>
  <c r="N469" i="1"/>
  <c r="R469" i="1"/>
  <c r="S469" i="1"/>
  <c r="N470" i="1"/>
  <c r="R470" i="1"/>
  <c r="S470" i="1"/>
  <c r="N471" i="1"/>
  <c r="R471" i="1"/>
  <c r="S471" i="1"/>
  <c r="N472" i="1"/>
  <c r="R472" i="1"/>
  <c r="S472" i="1"/>
  <c r="R473" i="1"/>
  <c r="S473" i="1"/>
  <c r="R474" i="1"/>
  <c r="S474" i="1"/>
  <c r="R475" i="1"/>
  <c r="S475" i="1"/>
  <c r="R476" i="1"/>
  <c r="S476" i="1"/>
  <c r="N477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N485" i="1"/>
  <c r="R485" i="1"/>
  <c r="S485" i="1"/>
  <c r="N486" i="1"/>
  <c r="R486" i="1"/>
  <c r="S486" i="1"/>
  <c r="R487" i="1"/>
  <c r="S487" i="1"/>
  <c r="N488" i="1"/>
  <c r="R488" i="1"/>
  <c r="S488" i="1"/>
  <c r="N489" i="1"/>
  <c r="R489" i="1"/>
  <c r="S489" i="1"/>
  <c r="N490" i="1"/>
  <c r="R490" i="1"/>
  <c r="S490" i="1"/>
  <c r="N491" i="1"/>
  <c r="R491" i="1"/>
  <c r="S491" i="1"/>
  <c r="N492" i="1"/>
  <c r="R492" i="1"/>
  <c r="S492" i="1"/>
  <c r="R493" i="1"/>
  <c r="S493" i="1"/>
  <c r="R494" i="1"/>
  <c r="S494" i="1"/>
  <c r="N495" i="1"/>
  <c r="R495" i="1"/>
  <c r="S495" i="1"/>
  <c r="N496" i="1"/>
  <c r="R496" i="1"/>
  <c r="S496" i="1"/>
  <c r="R497" i="1"/>
  <c r="S497" i="1"/>
  <c r="N498" i="1"/>
  <c r="R498" i="1"/>
  <c r="S498" i="1"/>
  <c r="N499" i="1"/>
  <c r="R499" i="1"/>
  <c r="S499" i="1"/>
  <c r="N500" i="1"/>
  <c r="R500" i="1"/>
  <c r="S500" i="1"/>
  <c r="N501" i="1"/>
  <c r="R501" i="1"/>
  <c r="S501" i="1"/>
  <c r="N502" i="1"/>
  <c r="R502" i="1"/>
  <c r="S502" i="1"/>
  <c r="N503" i="1"/>
  <c r="R503" i="1"/>
  <c r="S503" i="1"/>
  <c r="N504" i="1"/>
  <c r="R504" i="1"/>
  <c r="S504" i="1"/>
  <c r="N505" i="1"/>
  <c r="R505" i="1"/>
  <c r="S505" i="1"/>
  <c r="N506" i="1"/>
  <c r="R506" i="1"/>
  <c r="S506" i="1"/>
  <c r="N507" i="1"/>
  <c r="R507" i="1"/>
  <c r="S507" i="1"/>
  <c r="N508" i="1"/>
  <c r="R508" i="1"/>
  <c r="S508" i="1"/>
  <c r="N509" i="1"/>
  <c r="R509" i="1"/>
  <c r="S509" i="1"/>
  <c r="N510" i="1"/>
  <c r="R510" i="1"/>
  <c r="S510" i="1"/>
  <c r="N511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N518" i="1"/>
  <c r="R518" i="1"/>
  <c r="S518" i="1"/>
  <c r="N519" i="1"/>
  <c r="R519" i="1"/>
  <c r="S519" i="1"/>
  <c r="N520" i="1"/>
  <c r="R520" i="1"/>
  <c r="S520" i="1"/>
  <c r="N521" i="1"/>
  <c r="R521" i="1"/>
  <c r="S521" i="1"/>
  <c r="N522" i="1"/>
  <c r="R522" i="1"/>
  <c r="S522" i="1"/>
  <c r="N523" i="1"/>
  <c r="R523" i="1"/>
  <c r="S523" i="1"/>
  <c r="N524" i="1"/>
  <c r="R524" i="1"/>
  <c r="S524" i="1"/>
  <c r="N525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N536" i="1"/>
  <c r="R536" i="1"/>
  <c r="S536" i="1"/>
  <c r="N537" i="1"/>
  <c r="R537" i="1"/>
  <c r="S537" i="1"/>
  <c r="N538" i="1"/>
  <c r="R538" i="1"/>
  <c r="S538" i="1"/>
  <c r="N539" i="1"/>
  <c r="R539" i="1"/>
  <c r="S539" i="1"/>
  <c r="N540" i="1"/>
  <c r="R540" i="1"/>
  <c r="S540" i="1"/>
  <c r="N541" i="1"/>
  <c r="R541" i="1"/>
  <c r="S541" i="1"/>
  <c r="N542" i="1"/>
  <c r="R542" i="1"/>
  <c r="S542" i="1"/>
  <c r="N543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N553" i="1"/>
  <c r="R553" i="1"/>
  <c r="S553" i="1"/>
  <c r="R554" i="1"/>
  <c r="S554" i="1"/>
  <c r="R555" i="1"/>
  <c r="S555" i="1"/>
  <c r="N556" i="1"/>
  <c r="R556" i="1"/>
  <c r="S556" i="1"/>
  <c r="R557" i="1"/>
  <c r="S557" i="1"/>
  <c r="N558" i="1"/>
  <c r="R558" i="1"/>
  <c r="S558" i="1"/>
  <c r="N559" i="1"/>
  <c r="S559" i="1"/>
  <c r="N560" i="1"/>
  <c r="S560" i="1"/>
  <c r="N561" i="1"/>
  <c r="R561" i="1"/>
  <c r="S561" i="1"/>
  <c r="N562" i="1"/>
  <c r="R562" i="1"/>
  <c r="S562" i="1"/>
  <c r="N563" i="1"/>
  <c r="R563" i="1"/>
  <c r="S563" i="1"/>
  <c r="N564" i="1"/>
  <c r="R564" i="1"/>
  <c r="S564" i="1"/>
  <c r="N565" i="1"/>
  <c r="R565" i="1"/>
  <c r="S565" i="1"/>
  <c r="N566" i="1"/>
  <c r="R566" i="1"/>
  <c r="S566" i="1"/>
  <c r="R567" i="1"/>
  <c r="S567" i="1"/>
  <c r="N568" i="1"/>
  <c r="R568" i="1"/>
  <c r="S568" i="1"/>
  <c r="N569" i="1"/>
  <c r="R569" i="1"/>
  <c r="S569" i="1"/>
  <c r="N570" i="1"/>
  <c r="R570" i="1"/>
  <c r="S570" i="1"/>
  <c r="N571" i="1"/>
  <c r="R571" i="1"/>
  <c r="S571" i="1"/>
  <c r="N572" i="1"/>
  <c r="R572" i="1"/>
  <c r="S572" i="1"/>
  <c r="N573" i="1"/>
  <c r="R573" i="1"/>
  <c r="S573" i="1"/>
  <c r="N574" i="1"/>
  <c r="R574" i="1"/>
  <c r="S574" i="1"/>
  <c r="N575" i="1"/>
  <c r="R575" i="1"/>
  <c r="S575" i="1"/>
  <c r="N576" i="1"/>
  <c r="R576" i="1"/>
  <c r="S576" i="1"/>
  <c r="N577" i="1"/>
  <c r="R577" i="1"/>
  <c r="S577" i="1"/>
  <c r="N578" i="1"/>
  <c r="R578" i="1"/>
  <c r="S578" i="1"/>
  <c r="N579" i="1"/>
  <c r="S579" i="1"/>
  <c r="N580" i="1"/>
  <c r="R580" i="1"/>
  <c r="S580" i="1"/>
  <c r="N581" i="1"/>
  <c r="R581" i="1"/>
  <c r="S581" i="1"/>
  <c r="N582" i="1"/>
  <c r="R582" i="1"/>
  <c r="S582" i="1"/>
  <c r="N583" i="1"/>
  <c r="R583" i="1"/>
  <c r="S583" i="1"/>
  <c r="S584" i="1"/>
  <c r="S585" i="1"/>
  <c r="S586" i="1"/>
  <c r="S587" i="1"/>
  <c r="S588" i="1"/>
  <c r="S589" i="1"/>
  <c r="S590" i="1"/>
  <c r="R591" i="1"/>
  <c r="S591" i="1"/>
  <c r="R592" i="1"/>
  <c r="S592" i="1"/>
  <c r="N593" i="1"/>
  <c r="R593" i="1"/>
  <c r="S593" i="1"/>
  <c r="N594" i="1"/>
  <c r="R594" i="1"/>
  <c r="S594" i="1"/>
  <c r="N595" i="1"/>
  <c r="R595" i="1"/>
  <c r="S595" i="1"/>
  <c r="N596" i="1"/>
  <c r="R596" i="1"/>
  <c r="S596" i="1"/>
  <c r="N597" i="1"/>
  <c r="R597" i="1"/>
  <c r="S597" i="1"/>
  <c r="N598" i="1"/>
  <c r="R598" i="1"/>
  <c r="S598" i="1"/>
  <c r="N599" i="1"/>
  <c r="R599" i="1"/>
  <c r="S599" i="1"/>
  <c r="N600" i="1"/>
  <c r="R600" i="1"/>
  <c r="S600" i="1"/>
  <c r="N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N609" i="1"/>
  <c r="R609" i="1"/>
  <c r="S609" i="1"/>
  <c r="N610" i="1"/>
  <c r="R610" i="1"/>
  <c r="S610" i="1"/>
  <c r="N611" i="1"/>
  <c r="R611" i="1"/>
  <c r="S611" i="1"/>
  <c r="N612" i="1"/>
  <c r="R612" i="1"/>
  <c r="S612" i="1"/>
  <c r="N613" i="1"/>
  <c r="R613" i="1"/>
  <c r="S613" i="1"/>
  <c r="N614" i="1"/>
  <c r="R614" i="1"/>
  <c r="S614" i="1"/>
  <c r="N615" i="1"/>
  <c r="R615" i="1"/>
  <c r="S615" i="1"/>
  <c r="N616" i="1"/>
  <c r="R616" i="1"/>
  <c r="S616" i="1"/>
  <c r="N617" i="1"/>
  <c r="R617" i="1"/>
  <c r="S617" i="1"/>
  <c r="N618" i="1"/>
  <c r="R618" i="1"/>
  <c r="S618" i="1"/>
  <c r="N619" i="1"/>
  <c r="R619" i="1"/>
  <c r="S619" i="1"/>
  <c r="N620" i="1"/>
  <c r="R620" i="1"/>
  <c r="S620" i="1"/>
  <c r="N621" i="1"/>
  <c r="R621" i="1"/>
  <c r="S621" i="1"/>
  <c r="N622" i="1"/>
  <c r="R622" i="1"/>
  <c r="S622" i="1"/>
  <c r="N623" i="1"/>
  <c r="R623" i="1"/>
  <c r="S623" i="1"/>
  <c r="N624" i="1"/>
  <c r="R624" i="1"/>
  <c r="S624" i="1"/>
  <c r="N625" i="1"/>
  <c r="R625" i="1"/>
  <c r="S625" i="1"/>
  <c r="N626" i="1"/>
  <c r="R626" i="1"/>
  <c r="S626" i="1"/>
  <c r="N627" i="1"/>
  <c r="R627" i="1"/>
  <c r="S627" i="1"/>
  <c r="N628" i="1"/>
  <c r="R628" i="1"/>
  <c r="S628" i="1"/>
  <c r="N629" i="1"/>
  <c r="R629" i="1"/>
  <c r="S629" i="1"/>
  <c r="N630" i="1"/>
  <c r="R630" i="1"/>
  <c r="S630" i="1"/>
  <c r="N631" i="1"/>
  <c r="R631" i="1"/>
  <c r="S631" i="1"/>
  <c r="N632" i="1"/>
  <c r="R632" i="1"/>
  <c r="S632" i="1"/>
  <c r="N633" i="1"/>
  <c r="R633" i="1"/>
  <c r="S633" i="1"/>
  <c r="N634" i="1"/>
  <c r="R634" i="1"/>
  <c r="S634" i="1"/>
  <c r="N635" i="1"/>
  <c r="R635" i="1"/>
  <c r="S635" i="1"/>
  <c r="N636" i="1"/>
  <c r="R636" i="1"/>
  <c r="S636" i="1"/>
  <c r="N637" i="1"/>
  <c r="R637" i="1"/>
  <c r="S637" i="1"/>
  <c r="N638" i="1"/>
  <c r="R638" i="1"/>
  <c r="S638" i="1"/>
  <c r="R639" i="1"/>
  <c r="S639" i="1"/>
  <c r="N640" i="1"/>
  <c r="S640" i="1"/>
  <c r="N641" i="1"/>
  <c r="S641" i="1"/>
  <c r="N642" i="1"/>
  <c r="S642" i="1"/>
  <c r="N643" i="1"/>
  <c r="S643" i="1"/>
  <c r="N644" i="1"/>
  <c r="S644" i="1"/>
  <c r="N645" i="1"/>
  <c r="S645" i="1"/>
  <c r="N646" i="1"/>
  <c r="S646" i="1"/>
  <c r="N647" i="1"/>
  <c r="S647" i="1"/>
  <c r="N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N671" i="1"/>
  <c r="R671" i="1"/>
  <c r="S671" i="1"/>
  <c r="N672" i="1"/>
  <c r="R672" i="1"/>
  <c r="S672" i="1"/>
  <c r="N673" i="1"/>
  <c r="R673" i="1"/>
  <c r="S673" i="1"/>
  <c r="N674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N680" i="1"/>
  <c r="R680" i="1"/>
  <c r="S680" i="1"/>
  <c r="N681" i="1"/>
  <c r="R681" i="1"/>
  <c r="S681" i="1"/>
  <c r="N682" i="1"/>
  <c r="R682" i="1"/>
  <c r="S682" i="1"/>
  <c r="N683" i="1"/>
  <c r="R683" i="1"/>
  <c r="S683" i="1"/>
  <c r="N684" i="1"/>
  <c r="R684" i="1"/>
  <c r="S684" i="1"/>
  <c r="N685" i="1"/>
  <c r="R685" i="1"/>
  <c r="S685" i="1"/>
  <c r="R686" i="1"/>
  <c r="S686" i="1"/>
  <c r="R687" i="1"/>
  <c r="S687" i="1"/>
  <c r="R688" i="1"/>
  <c r="S688" i="1"/>
  <c r="N689" i="1"/>
  <c r="R689" i="1"/>
  <c r="S689" i="1"/>
  <c r="N690" i="1"/>
  <c r="R690" i="1"/>
  <c r="S690" i="1"/>
  <c r="N691" i="1"/>
  <c r="R691" i="1"/>
  <c r="S691" i="1"/>
  <c r="N692" i="1"/>
  <c r="R692" i="1"/>
  <c r="S692" i="1"/>
  <c r="N693" i="1"/>
  <c r="R693" i="1"/>
  <c r="S693" i="1"/>
  <c r="N694" i="1"/>
  <c r="R694" i="1"/>
  <c r="S694" i="1"/>
  <c r="N695" i="1"/>
  <c r="R695" i="1"/>
  <c r="S695" i="1"/>
  <c r="N696" i="1"/>
  <c r="R696" i="1"/>
  <c r="S696" i="1"/>
  <c r="N697" i="1"/>
  <c r="R697" i="1"/>
  <c r="S697" i="1"/>
  <c r="N698" i="1"/>
  <c r="R698" i="1"/>
  <c r="S698" i="1"/>
  <c r="N699" i="1"/>
  <c r="R699" i="1"/>
  <c r="S699" i="1"/>
  <c r="N700" i="1"/>
  <c r="R700" i="1"/>
  <c r="S700" i="1"/>
  <c r="N701" i="1"/>
  <c r="R701" i="1"/>
  <c r="S701" i="1"/>
  <c r="N702" i="1"/>
  <c r="R702" i="1"/>
  <c r="S702" i="1"/>
  <c r="R703" i="1"/>
  <c r="S703" i="1"/>
  <c r="R704" i="1"/>
  <c r="S704" i="1"/>
  <c r="N705" i="1"/>
  <c r="R705" i="1"/>
  <c r="S705" i="1"/>
  <c r="R706" i="1"/>
  <c r="S706" i="1"/>
  <c r="R707" i="1"/>
  <c r="S707" i="1"/>
  <c r="R708" i="1"/>
  <c r="S708" i="1"/>
  <c r="R709" i="1"/>
  <c r="S709" i="1"/>
  <c r="N710" i="1"/>
  <c r="R710" i="1"/>
  <c r="S710" i="1"/>
  <c r="N711" i="1"/>
  <c r="R711" i="1"/>
  <c r="S711" i="1"/>
  <c r="N712" i="1"/>
  <c r="R712" i="1"/>
  <c r="S712" i="1"/>
  <c r="N713" i="1"/>
  <c r="R713" i="1"/>
  <c r="S713" i="1"/>
  <c r="N714" i="1"/>
  <c r="R714" i="1"/>
  <c r="S714" i="1"/>
  <c r="N715" i="1"/>
  <c r="R715" i="1"/>
  <c r="S715" i="1"/>
  <c r="N716" i="1"/>
  <c r="R716" i="1"/>
  <c r="S716" i="1"/>
  <c r="N717" i="1"/>
  <c r="R717" i="1"/>
  <c r="S717" i="1"/>
  <c r="N718" i="1"/>
  <c r="R718" i="1"/>
  <c r="S718" i="1"/>
  <c r="N719" i="1"/>
  <c r="R719" i="1"/>
  <c r="S719" i="1"/>
  <c r="N720" i="1"/>
  <c r="R720" i="1"/>
  <c r="S720" i="1"/>
  <c r="N721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N739" i="1"/>
  <c r="R739" i="1"/>
  <c r="S739" i="1"/>
  <c r="N740" i="1"/>
  <c r="S740" i="1"/>
  <c r="N741" i="1"/>
  <c r="R741" i="1"/>
  <c r="S741" i="1"/>
  <c r="R742" i="1"/>
  <c r="S742" i="1"/>
  <c r="N743" i="1"/>
  <c r="R743" i="1"/>
  <c r="S743" i="1"/>
  <c r="N744" i="1"/>
  <c r="R744" i="1"/>
  <c r="S744" i="1"/>
  <c r="N745" i="1"/>
  <c r="R745" i="1"/>
  <c r="S745" i="1"/>
  <c r="N746" i="1"/>
  <c r="R746" i="1"/>
  <c r="S746" i="1"/>
  <c r="N747" i="1"/>
  <c r="R747" i="1"/>
  <c r="S747" i="1"/>
  <c r="N748" i="1"/>
  <c r="R748" i="1"/>
  <c r="S748" i="1"/>
  <c r="N749" i="1"/>
  <c r="R749" i="1"/>
  <c r="S749" i="1"/>
  <c r="N750" i="1"/>
  <c r="R750" i="1"/>
  <c r="S750" i="1"/>
  <c r="N751" i="1"/>
  <c r="R751" i="1"/>
  <c r="S751" i="1"/>
  <c r="N752" i="1"/>
  <c r="R752" i="1"/>
  <c r="S752" i="1"/>
  <c r="N753" i="1"/>
  <c r="R753" i="1"/>
  <c r="S753" i="1"/>
  <c r="N754" i="1"/>
  <c r="R754" i="1"/>
  <c r="S754" i="1"/>
  <c r="N755" i="1"/>
  <c r="R755" i="1"/>
  <c r="S755" i="1"/>
  <c r="N756" i="1"/>
  <c r="R756" i="1"/>
  <c r="S756" i="1"/>
  <c r="N757" i="1"/>
  <c r="R757" i="1"/>
  <c r="S757" i="1"/>
  <c r="N758" i="1"/>
  <c r="R758" i="1"/>
  <c r="S758" i="1"/>
  <c r="N759" i="1"/>
  <c r="R759" i="1"/>
  <c r="S759" i="1"/>
  <c r="N760" i="1"/>
  <c r="R760" i="1"/>
  <c r="S760" i="1"/>
  <c r="N761" i="1"/>
  <c r="R761" i="1"/>
  <c r="S761" i="1"/>
  <c r="N762" i="1"/>
  <c r="R762" i="1"/>
  <c r="S762" i="1"/>
  <c r="N763" i="1"/>
  <c r="R763" i="1"/>
  <c r="S763" i="1"/>
  <c r="N764" i="1"/>
  <c r="R764" i="1"/>
  <c r="S764" i="1"/>
  <c r="N765" i="1"/>
  <c r="R765" i="1"/>
  <c r="S765" i="1"/>
  <c r="N766" i="1"/>
  <c r="R766" i="1"/>
  <c r="S766" i="1"/>
  <c r="N767" i="1"/>
  <c r="R767" i="1"/>
  <c r="S767" i="1"/>
  <c r="N768" i="1"/>
  <c r="R768" i="1"/>
  <c r="S768" i="1"/>
  <c r="N769" i="1"/>
  <c r="R769" i="1"/>
  <c r="S769" i="1"/>
  <c r="S770" i="1"/>
  <c r="S771" i="1"/>
  <c r="S772" i="1"/>
  <c r="S773" i="1"/>
  <c r="S774" i="1"/>
  <c r="S775" i="1"/>
  <c r="N776" i="1"/>
  <c r="S776" i="1"/>
  <c r="N777" i="1"/>
  <c r="S777" i="1"/>
  <c r="N778" i="1"/>
  <c r="R778" i="1"/>
  <c r="S778" i="1"/>
  <c r="N779" i="1"/>
  <c r="R779" i="1"/>
  <c r="S779" i="1"/>
  <c r="N780" i="1"/>
  <c r="R780" i="1"/>
  <c r="S780" i="1"/>
  <c r="N781" i="1"/>
  <c r="R781" i="1"/>
  <c r="S781" i="1"/>
  <c r="R782" i="1"/>
  <c r="S782" i="1"/>
  <c r="R783" i="1"/>
  <c r="S783" i="1"/>
  <c r="N784" i="1"/>
  <c r="R784" i="1"/>
  <c r="S784" i="1"/>
  <c r="N785" i="1"/>
  <c r="R785" i="1"/>
  <c r="S785" i="1"/>
  <c r="N786" i="1"/>
  <c r="R786" i="1"/>
  <c r="S786" i="1"/>
  <c r="R787" i="1"/>
  <c r="S787" i="1"/>
  <c r="R788" i="1"/>
  <c r="S788" i="1"/>
  <c r="R789" i="1"/>
  <c r="S789" i="1"/>
  <c r="N790" i="1"/>
  <c r="R790" i="1"/>
  <c r="S790" i="1"/>
  <c r="N791" i="1"/>
  <c r="R791" i="1"/>
  <c r="S791" i="1"/>
  <c r="N792" i="1"/>
  <c r="R792" i="1"/>
  <c r="S792" i="1"/>
  <c r="N793" i="1"/>
  <c r="R793" i="1"/>
  <c r="S793" i="1"/>
  <c r="N794" i="1"/>
  <c r="R794" i="1"/>
  <c r="S794" i="1"/>
  <c r="N795" i="1"/>
  <c r="R795" i="1"/>
  <c r="S795" i="1"/>
  <c r="N796" i="1"/>
  <c r="R796" i="1"/>
  <c r="S796" i="1"/>
  <c r="N797" i="1"/>
  <c r="R797" i="1"/>
  <c r="S797" i="1"/>
  <c r="N798" i="1"/>
  <c r="R798" i="1"/>
  <c r="S798" i="1"/>
  <c r="N799" i="1"/>
  <c r="R799" i="1"/>
  <c r="S799" i="1"/>
  <c r="N800" i="1"/>
  <c r="R800" i="1"/>
  <c r="S800" i="1"/>
  <c r="N801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N825" i="1"/>
  <c r="R825" i="1"/>
  <c r="S825" i="1"/>
  <c r="N826" i="1"/>
  <c r="R826" i="1"/>
  <c r="S826" i="1"/>
  <c r="N827" i="1"/>
  <c r="R827" i="1"/>
  <c r="S827" i="1"/>
  <c r="N828" i="1"/>
  <c r="R828" i="1"/>
  <c r="S828" i="1"/>
  <c r="N829" i="1"/>
  <c r="R829" i="1"/>
  <c r="S829" i="1"/>
  <c r="N830" i="1"/>
  <c r="R830" i="1"/>
  <c r="S830" i="1"/>
  <c r="N831" i="1"/>
  <c r="R831" i="1"/>
  <c r="S831" i="1"/>
  <c r="N832" i="1"/>
  <c r="R832" i="1"/>
  <c r="S832" i="1"/>
  <c r="N833" i="1"/>
  <c r="R833" i="1"/>
  <c r="S833" i="1"/>
  <c r="N834" i="1"/>
  <c r="R834" i="1"/>
  <c r="S834" i="1"/>
  <c r="N835" i="1"/>
  <c r="R835" i="1"/>
  <c r="S835" i="1"/>
  <c r="N836" i="1"/>
  <c r="R836" i="1"/>
  <c r="S836" i="1"/>
  <c r="N837" i="1"/>
  <c r="R837" i="1"/>
  <c r="S837" i="1"/>
  <c r="N838" i="1"/>
  <c r="R838" i="1"/>
  <c r="S838" i="1"/>
  <c r="N839" i="1"/>
  <c r="R839" i="1"/>
  <c r="S839" i="1"/>
  <c r="N840" i="1"/>
  <c r="R840" i="1"/>
  <c r="S840" i="1"/>
  <c r="N841" i="1"/>
  <c r="R841" i="1"/>
  <c r="S841" i="1"/>
  <c r="N842" i="1"/>
  <c r="R842" i="1"/>
  <c r="S842" i="1"/>
  <c r="R843" i="1"/>
  <c r="S843" i="1"/>
  <c r="N844" i="1"/>
  <c r="R844" i="1"/>
  <c r="S844" i="1"/>
  <c r="N845" i="1"/>
  <c r="R845" i="1"/>
  <c r="S845" i="1"/>
  <c r="R846" i="1"/>
  <c r="S846" i="1"/>
  <c r="N847" i="1"/>
  <c r="R847" i="1"/>
  <c r="S847" i="1"/>
  <c r="R848" i="1"/>
  <c r="S848" i="1"/>
  <c r="R849" i="1"/>
  <c r="S849" i="1"/>
  <c r="R850" i="1"/>
  <c r="S850" i="1"/>
  <c r="N851" i="1"/>
  <c r="R851" i="1"/>
  <c r="S851" i="1"/>
  <c r="N852" i="1"/>
  <c r="R852" i="1"/>
  <c r="S852" i="1"/>
  <c r="R853" i="1"/>
  <c r="S853" i="1"/>
  <c r="N854" i="1"/>
  <c r="S854" i="1"/>
  <c r="N855" i="1"/>
  <c r="S855" i="1"/>
  <c r="N856" i="1"/>
  <c r="R856" i="1"/>
  <c r="S856" i="1"/>
  <c r="N857" i="1"/>
  <c r="R857" i="1"/>
  <c r="S857" i="1"/>
  <c r="N858" i="1"/>
  <c r="R858" i="1"/>
  <c r="S858" i="1"/>
  <c r="N859" i="1"/>
  <c r="R859" i="1"/>
  <c r="S859" i="1"/>
  <c r="N860" i="1"/>
  <c r="R860" i="1"/>
  <c r="S860" i="1"/>
  <c r="N861" i="1"/>
  <c r="R861" i="1"/>
  <c r="S861" i="1"/>
  <c r="N862" i="1"/>
  <c r="R862" i="1"/>
  <c r="S862" i="1"/>
  <c r="N863" i="1"/>
  <c r="R863" i="1"/>
  <c r="S863" i="1"/>
  <c r="N864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N879" i="1"/>
  <c r="R879" i="1"/>
  <c r="S879" i="1"/>
  <c r="R880" i="1"/>
  <c r="S880" i="1"/>
  <c r="N881" i="1"/>
  <c r="R881" i="1"/>
  <c r="S881" i="1"/>
  <c r="R882" i="1"/>
  <c r="S882" i="1"/>
  <c r="R883" i="1"/>
  <c r="S883" i="1"/>
  <c r="R884" i="1"/>
  <c r="S884" i="1"/>
  <c r="R885" i="1"/>
  <c r="S885" i="1"/>
  <c r="N886" i="1"/>
  <c r="R886" i="1"/>
  <c r="S886" i="1"/>
  <c r="N887" i="1"/>
  <c r="R887" i="1"/>
  <c r="S887" i="1"/>
  <c r="N888" i="1"/>
  <c r="R888" i="1"/>
  <c r="S888" i="1"/>
  <c r="N889" i="1"/>
  <c r="R889" i="1"/>
  <c r="S889" i="1"/>
  <c r="N890" i="1"/>
  <c r="R890" i="1"/>
  <c r="S890" i="1"/>
  <c r="N891" i="1"/>
  <c r="R891" i="1"/>
  <c r="S891" i="1"/>
  <c r="S892" i="1"/>
  <c r="N893" i="1"/>
  <c r="R893" i="1"/>
  <c r="S893" i="1"/>
  <c r="R894" i="1"/>
  <c r="S894" i="1"/>
  <c r="N895" i="1"/>
  <c r="R895" i="1"/>
  <c r="S895" i="1"/>
  <c r="N896" i="1"/>
  <c r="R896" i="1"/>
  <c r="S896" i="1"/>
  <c r="R897" i="1"/>
  <c r="S897" i="1"/>
  <c r="N898" i="1"/>
  <c r="R898" i="1"/>
  <c r="S898" i="1"/>
  <c r="S899" i="1"/>
  <c r="S900" i="1"/>
  <c r="S901" i="1"/>
  <c r="R902" i="1"/>
  <c r="S902" i="1"/>
  <c r="N903" i="1"/>
  <c r="R903" i="1"/>
  <c r="S903" i="1"/>
  <c r="N904" i="1"/>
  <c r="R904" i="1"/>
  <c r="S904" i="1"/>
  <c r="N905" i="1"/>
  <c r="R905" i="1"/>
  <c r="S905" i="1"/>
  <c r="N906" i="1"/>
  <c r="R906" i="1"/>
  <c r="S906" i="1"/>
  <c r="N907" i="1"/>
  <c r="R907" i="1"/>
  <c r="S907" i="1"/>
  <c r="N908" i="1"/>
  <c r="R908" i="1"/>
  <c r="S908" i="1"/>
  <c r="N909" i="1"/>
  <c r="S909" i="1"/>
  <c r="N910" i="1"/>
  <c r="S910" i="1"/>
  <c r="N911" i="1"/>
  <c r="S911" i="1"/>
  <c r="N912" i="1"/>
  <c r="R912" i="1"/>
  <c r="S912" i="1"/>
  <c r="N913" i="1"/>
  <c r="R913" i="1"/>
  <c r="S913" i="1"/>
  <c r="N914" i="1"/>
  <c r="R914" i="1"/>
  <c r="S914" i="1"/>
  <c r="N915" i="1"/>
  <c r="R915" i="1"/>
  <c r="S915" i="1"/>
  <c r="N916" i="1"/>
  <c r="R916" i="1"/>
  <c r="S916" i="1"/>
  <c r="N917" i="1"/>
  <c r="R917" i="1"/>
  <c r="S917" i="1"/>
  <c r="N918" i="1"/>
  <c r="R918" i="1"/>
  <c r="S918" i="1"/>
  <c r="N919" i="1"/>
  <c r="R919" i="1"/>
  <c r="S919" i="1"/>
  <c r="N920" i="1"/>
  <c r="R920" i="1"/>
  <c r="S920" i="1"/>
  <c r="N921" i="1"/>
  <c r="R921" i="1"/>
  <c r="S921" i="1"/>
  <c r="N922" i="1"/>
  <c r="R922" i="1"/>
  <c r="S922" i="1"/>
  <c r="N923" i="1"/>
  <c r="R923" i="1"/>
  <c r="S923" i="1"/>
  <c r="N924" i="1"/>
  <c r="R924" i="1"/>
  <c r="S924" i="1"/>
  <c r="N925" i="1"/>
  <c r="R925" i="1"/>
  <c r="S925" i="1"/>
  <c r="N926" i="1"/>
  <c r="R926" i="1"/>
  <c r="S926" i="1"/>
  <c r="N927" i="1"/>
  <c r="R927" i="1"/>
  <c r="S927" i="1"/>
  <c r="N928" i="1"/>
  <c r="R928" i="1"/>
  <c r="S928" i="1"/>
  <c r="N929" i="1"/>
  <c r="R929" i="1"/>
  <c r="S929" i="1"/>
  <c r="N930" i="1"/>
  <c r="R930" i="1"/>
  <c r="S930" i="1"/>
  <c r="N931" i="1"/>
  <c r="R931" i="1"/>
  <c r="S931" i="1"/>
  <c r="N932" i="1"/>
  <c r="R932" i="1"/>
  <c r="S932" i="1"/>
  <c r="N933" i="1"/>
  <c r="R933" i="1"/>
  <c r="S933" i="1"/>
  <c r="N934" i="1"/>
  <c r="R934" i="1"/>
  <c r="S934" i="1"/>
  <c r="N935" i="1"/>
  <c r="R935" i="1"/>
  <c r="S935" i="1"/>
  <c r="N936" i="1"/>
  <c r="R936" i="1"/>
  <c r="S936" i="1"/>
  <c r="N937" i="1"/>
  <c r="R937" i="1"/>
  <c r="S937" i="1"/>
  <c r="N938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N959" i="1"/>
  <c r="R959" i="1"/>
  <c r="S959" i="1"/>
  <c r="R960" i="1"/>
  <c r="S960" i="1"/>
  <c r="R961" i="1"/>
  <c r="S961" i="1"/>
  <c r="R962" i="1"/>
  <c r="S962" i="1"/>
  <c r="N963" i="1"/>
  <c r="R963" i="1"/>
  <c r="S963" i="1"/>
  <c r="N964" i="1"/>
  <c r="R964" i="1"/>
  <c r="S964" i="1"/>
  <c r="N965" i="1"/>
  <c r="R965" i="1"/>
  <c r="S965" i="1"/>
  <c r="R966" i="1"/>
  <c r="S966" i="1"/>
  <c r="R967" i="1"/>
  <c r="S967" i="1"/>
  <c r="N968" i="1"/>
  <c r="R968" i="1"/>
  <c r="S968" i="1"/>
  <c r="N969" i="1"/>
  <c r="R969" i="1"/>
  <c r="S969" i="1"/>
  <c r="N970" i="1"/>
  <c r="R970" i="1"/>
  <c r="S970" i="1"/>
  <c r="N971" i="1"/>
  <c r="R971" i="1"/>
  <c r="S971" i="1"/>
  <c r="N972" i="1"/>
  <c r="R972" i="1"/>
  <c r="S972" i="1"/>
  <c r="N973" i="1"/>
  <c r="R973" i="1"/>
  <c r="S973" i="1"/>
  <c r="N974" i="1"/>
  <c r="R974" i="1"/>
  <c r="S974" i="1"/>
  <c r="N975" i="1"/>
  <c r="R975" i="1"/>
  <c r="S975" i="1"/>
  <c r="N976" i="1"/>
  <c r="R976" i="1"/>
  <c r="S976" i="1"/>
  <c r="N977" i="1"/>
  <c r="R977" i="1"/>
  <c r="S977" i="1"/>
  <c r="N978" i="1"/>
  <c r="R978" i="1"/>
  <c r="S978" i="1"/>
  <c r="N979" i="1"/>
  <c r="R979" i="1"/>
  <c r="S979" i="1"/>
  <c r="N980" i="1"/>
  <c r="R980" i="1"/>
  <c r="S980" i="1"/>
  <c r="R981" i="1"/>
  <c r="S981" i="1"/>
  <c r="N982" i="1"/>
  <c r="R982" i="1"/>
  <c r="S982" i="1"/>
  <c r="N983" i="1"/>
  <c r="R983" i="1"/>
  <c r="S983" i="1"/>
  <c r="N984" i="1"/>
  <c r="R984" i="1"/>
  <c r="S984" i="1"/>
  <c r="N985" i="1"/>
  <c r="R985" i="1"/>
  <c r="S985" i="1"/>
  <c r="N986" i="1"/>
  <c r="R986" i="1"/>
  <c r="S986" i="1"/>
  <c r="N987" i="1"/>
  <c r="R987" i="1"/>
  <c r="S987" i="1"/>
  <c r="R988" i="1"/>
  <c r="S988" i="1"/>
  <c r="N989" i="1"/>
  <c r="R989" i="1"/>
  <c r="S989" i="1"/>
  <c r="N990" i="1"/>
  <c r="R990" i="1"/>
  <c r="S990" i="1"/>
  <c r="N991" i="1"/>
  <c r="R991" i="1"/>
  <c r="S991" i="1"/>
  <c r="N992" i="1"/>
  <c r="R992" i="1"/>
  <c r="S992" i="1"/>
  <c r="N993" i="1"/>
  <c r="R993" i="1"/>
  <c r="S993" i="1"/>
  <c r="N994" i="1"/>
  <c r="R994" i="1"/>
  <c r="S994" i="1"/>
  <c r="N995" i="1"/>
  <c r="R995" i="1"/>
  <c r="S995" i="1"/>
  <c r="N996" i="1"/>
  <c r="R996" i="1"/>
  <c r="S996" i="1"/>
  <c r="R997" i="1"/>
  <c r="S997" i="1"/>
  <c r="N998" i="1"/>
  <c r="S998" i="1"/>
  <c r="N999" i="1"/>
  <c r="S999" i="1"/>
  <c r="N1000" i="1"/>
  <c r="S1000" i="1"/>
  <c r="N1001" i="1"/>
  <c r="S1001" i="1"/>
  <c r="N1002" i="1"/>
  <c r="S1002" i="1"/>
  <c r="N1003" i="1"/>
  <c r="S1003" i="1"/>
  <c r="N1004" i="1"/>
  <c r="S1004" i="1"/>
  <c r="N1005" i="1"/>
  <c r="S1005" i="1"/>
  <c r="N1006" i="1"/>
  <c r="S1006" i="1"/>
  <c r="N1007" i="1"/>
  <c r="S1007" i="1"/>
  <c r="N1008" i="1"/>
  <c r="S1008" i="1"/>
  <c r="N1009" i="1"/>
  <c r="S1009" i="1"/>
  <c r="N1010" i="1"/>
  <c r="S1010" i="1"/>
  <c r="N1011" i="1"/>
  <c r="S1011" i="1"/>
  <c r="N1012" i="1"/>
  <c r="S1012" i="1"/>
  <c r="N1013" i="1"/>
  <c r="S1013" i="1"/>
  <c r="N1014" i="1"/>
  <c r="S1014" i="1"/>
  <c r="N1015" i="1"/>
  <c r="S1015" i="1"/>
  <c r="N1016" i="1"/>
  <c r="S1016" i="1"/>
  <c r="N1017" i="1"/>
  <c r="S1017" i="1"/>
  <c r="N1018" i="1"/>
  <c r="S1018" i="1"/>
  <c r="N1019" i="1"/>
  <c r="S1019" i="1"/>
  <c r="N1020" i="1"/>
  <c r="S1020" i="1"/>
  <c r="N1021" i="1"/>
  <c r="S1021" i="1"/>
  <c r="N1022" i="1"/>
  <c r="R1022" i="1"/>
  <c r="S1022" i="1"/>
  <c r="S1023" i="1"/>
  <c r="N1024" i="1"/>
  <c r="R1024" i="1"/>
  <c r="S1024" i="1"/>
  <c r="N1025" i="1"/>
  <c r="R1025" i="1"/>
  <c r="S1025" i="1"/>
  <c r="R1026" i="1"/>
  <c r="S1026" i="1"/>
  <c r="R1027" i="1"/>
  <c r="S1027" i="1"/>
  <c r="N1028" i="1"/>
  <c r="R1028" i="1"/>
  <c r="S1028" i="1"/>
  <c r="R1029" i="1"/>
  <c r="S1029" i="1"/>
  <c r="N1030" i="1"/>
  <c r="R1030" i="1"/>
  <c r="S1030" i="1"/>
  <c r="N1031" i="1"/>
  <c r="R1031" i="1"/>
  <c r="S1031" i="1"/>
  <c r="N1032" i="1"/>
  <c r="R1032" i="1"/>
  <c r="S1032" i="1"/>
  <c r="N1033" i="1"/>
  <c r="R1033" i="1"/>
  <c r="S1033" i="1"/>
  <c r="N1034" i="1"/>
  <c r="S1034" i="1"/>
  <c r="N1035" i="1"/>
  <c r="R1035" i="1"/>
  <c r="S1035" i="1"/>
  <c r="N1036" i="1"/>
  <c r="R1036" i="1"/>
  <c r="S1036" i="1"/>
  <c r="N1037" i="1"/>
  <c r="R1037" i="1"/>
  <c r="S1037" i="1"/>
  <c r="S1038" i="1"/>
  <c r="S1039" i="1"/>
  <c r="S1040" i="1"/>
  <c r="S1041" i="1"/>
  <c r="N1042" i="1"/>
  <c r="R1042" i="1"/>
  <c r="S1042" i="1"/>
  <c r="N1043" i="1"/>
  <c r="R1043" i="1"/>
  <c r="S1043" i="1"/>
  <c r="N1044" i="1"/>
  <c r="R1044" i="1"/>
  <c r="S1044" i="1"/>
  <c r="N1045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N1081" i="1"/>
  <c r="R1081" i="1"/>
  <c r="S1081" i="1"/>
  <c r="N1082" i="1"/>
  <c r="R1082" i="1"/>
  <c r="S1082" i="1"/>
  <c r="N1083" i="1"/>
  <c r="R1083" i="1"/>
  <c r="S1083" i="1"/>
  <c r="N1084" i="1"/>
  <c r="R1084" i="1"/>
  <c r="S1084" i="1"/>
  <c r="N1085" i="1"/>
  <c r="R1085" i="1"/>
  <c r="S1085" i="1"/>
  <c r="N1086" i="1"/>
  <c r="R1086" i="1"/>
  <c r="S1086" i="1"/>
  <c r="R1087" i="1"/>
  <c r="S1087" i="1"/>
  <c r="R1088" i="1"/>
  <c r="S1088" i="1"/>
  <c r="R1089" i="1"/>
  <c r="S1089" i="1"/>
  <c r="R1090" i="1"/>
  <c r="S1090" i="1"/>
  <c r="N1091" i="1"/>
  <c r="R1091" i="1"/>
  <c r="S1091" i="1"/>
  <c r="N1092" i="1"/>
  <c r="R1092" i="1"/>
  <c r="S1092" i="1"/>
  <c r="N1093" i="1"/>
  <c r="R1093" i="1"/>
  <c r="S1093" i="1"/>
  <c r="N1094" i="1"/>
  <c r="R1094" i="1"/>
  <c r="S1094" i="1"/>
  <c r="N1095" i="1"/>
  <c r="R1095" i="1"/>
  <c r="S1095" i="1"/>
  <c r="N1096" i="1"/>
  <c r="R1096" i="1"/>
  <c r="S1096" i="1"/>
  <c r="N1097" i="1"/>
  <c r="R1097" i="1"/>
  <c r="S1097" i="1"/>
  <c r="N1098" i="1"/>
  <c r="R1098" i="1"/>
  <c r="S1098" i="1"/>
  <c r="N1099" i="1"/>
  <c r="R1099" i="1"/>
  <c r="S1099" i="1"/>
  <c r="N1100" i="1"/>
  <c r="R1100" i="1"/>
  <c r="S1100" i="1"/>
  <c r="N1101" i="1"/>
  <c r="R1101" i="1"/>
  <c r="S1101" i="1"/>
  <c r="N1102" i="1"/>
  <c r="R1102" i="1"/>
  <c r="S1102" i="1"/>
  <c r="N1103" i="1"/>
  <c r="R1103" i="1"/>
  <c r="S1103" i="1"/>
  <c r="N1104" i="1"/>
  <c r="R1104" i="1"/>
  <c r="S1104" i="1"/>
  <c r="N1105" i="1"/>
  <c r="R1105" i="1"/>
  <c r="S1105" i="1"/>
  <c r="N1106" i="1"/>
  <c r="R1106" i="1"/>
  <c r="S1106" i="1"/>
  <c r="N1107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N1122" i="1"/>
  <c r="R1122" i="1"/>
  <c r="S1122" i="1"/>
  <c r="N1123" i="1"/>
  <c r="R1123" i="1"/>
  <c r="S1123" i="1"/>
  <c r="N1124" i="1"/>
  <c r="R1124" i="1"/>
  <c r="S1124" i="1"/>
  <c r="N1125" i="1"/>
  <c r="R1125" i="1"/>
  <c r="S1125" i="1"/>
  <c r="N1126" i="1"/>
  <c r="R1126" i="1"/>
  <c r="S1126" i="1"/>
  <c r="N1127" i="1"/>
  <c r="R1127" i="1"/>
  <c r="S1127" i="1"/>
  <c r="N1128" i="1"/>
  <c r="R1128" i="1"/>
  <c r="S1128" i="1"/>
  <c r="N1129" i="1"/>
  <c r="R1129" i="1"/>
  <c r="S1129" i="1"/>
  <c r="N1130" i="1"/>
  <c r="R1130" i="1"/>
  <c r="S1130" i="1"/>
  <c r="N1131" i="1"/>
  <c r="R1131" i="1"/>
  <c r="S1131" i="1"/>
  <c r="N1132" i="1"/>
  <c r="R1132" i="1"/>
  <c r="S1132" i="1"/>
  <c r="N1133" i="1"/>
  <c r="R1133" i="1"/>
  <c r="S1133" i="1"/>
  <c r="N1134" i="1"/>
  <c r="R1134" i="1"/>
  <c r="S1134" i="1"/>
  <c r="N1135" i="1"/>
  <c r="R1135" i="1"/>
  <c r="S1135" i="1"/>
  <c r="N1136" i="1"/>
  <c r="R1136" i="1"/>
  <c r="S1136" i="1"/>
  <c r="N1137" i="1"/>
  <c r="R1137" i="1"/>
  <c r="S1137" i="1"/>
  <c r="N1138" i="1"/>
  <c r="R1138" i="1"/>
  <c r="S1138" i="1"/>
  <c r="N1139" i="1"/>
  <c r="R1139" i="1"/>
  <c r="S1139" i="1"/>
  <c r="N1140" i="1"/>
  <c r="R1140" i="1"/>
  <c r="S1140" i="1"/>
  <c r="N1141" i="1"/>
  <c r="R1141" i="1"/>
  <c r="S1141" i="1"/>
  <c r="N1142" i="1"/>
  <c r="R1142" i="1"/>
  <c r="S1142" i="1"/>
  <c r="N1143" i="1"/>
  <c r="R1143" i="1"/>
  <c r="S1143" i="1"/>
  <c r="N1144" i="1"/>
  <c r="R1144" i="1"/>
  <c r="S1144" i="1"/>
  <c r="N1145" i="1"/>
  <c r="R1145" i="1"/>
  <c r="S1145" i="1"/>
  <c r="N1146" i="1"/>
  <c r="R1146" i="1"/>
  <c r="S1146" i="1"/>
  <c r="N1147" i="1"/>
  <c r="R1147" i="1"/>
  <c r="S1147" i="1"/>
  <c r="N1148" i="1"/>
  <c r="R1148" i="1"/>
  <c r="S1148" i="1"/>
  <c r="N1149" i="1"/>
  <c r="R1149" i="1"/>
  <c r="S1149" i="1"/>
  <c r="N1150" i="1"/>
  <c r="R1150" i="1"/>
  <c r="S1150" i="1"/>
  <c r="N1151" i="1"/>
  <c r="R1151" i="1"/>
  <c r="S1151" i="1"/>
  <c r="N1152" i="1"/>
  <c r="R1152" i="1"/>
  <c r="S1152" i="1"/>
  <c r="N1153" i="1"/>
  <c r="R1153" i="1"/>
  <c r="S1153" i="1"/>
  <c r="N1154" i="1"/>
  <c r="R1154" i="1"/>
  <c r="S1154" i="1"/>
  <c r="R1155" i="1"/>
  <c r="S1155" i="1"/>
  <c r="N1156" i="1"/>
  <c r="R1156" i="1"/>
  <c r="S1156" i="1"/>
  <c r="N1157" i="1"/>
  <c r="R1157" i="1"/>
  <c r="S1157" i="1"/>
  <c r="N1158" i="1"/>
  <c r="R1158" i="1"/>
  <c r="S1158" i="1"/>
  <c r="N1159" i="1"/>
  <c r="R1159" i="1"/>
  <c r="S1159" i="1"/>
  <c r="N1160" i="1"/>
  <c r="R1160" i="1"/>
  <c r="S1160" i="1"/>
  <c r="N1161" i="1"/>
  <c r="R1161" i="1"/>
  <c r="S1161" i="1"/>
  <c r="N1162" i="1"/>
  <c r="R1162" i="1"/>
  <c r="S1162" i="1"/>
  <c r="N1163" i="1"/>
  <c r="R1163" i="1"/>
  <c r="S1163" i="1"/>
  <c r="N1164" i="1"/>
  <c r="R1164" i="1"/>
  <c r="S1164" i="1"/>
  <c r="R1165" i="1"/>
  <c r="S1165" i="1"/>
  <c r="N1166" i="1"/>
  <c r="R1166" i="1"/>
  <c r="S1166" i="1"/>
  <c r="N1167" i="1"/>
  <c r="R1167" i="1"/>
  <c r="S1167" i="1"/>
  <c r="N1168" i="1"/>
  <c r="R1168" i="1"/>
  <c r="S1168" i="1"/>
  <c r="N1169" i="1"/>
  <c r="R1169" i="1"/>
  <c r="S1169" i="1"/>
  <c r="N1170" i="1"/>
  <c r="R1170" i="1"/>
  <c r="S1170" i="1"/>
  <c r="R1171" i="1"/>
  <c r="S1171" i="1"/>
  <c r="S1172" i="1"/>
  <c r="R1173" i="1"/>
  <c r="S1173" i="1"/>
  <c r="S1174" i="1"/>
  <c r="R1175" i="1"/>
  <c r="S1175" i="1"/>
  <c r="N1176" i="1"/>
  <c r="R1176" i="1"/>
  <c r="S1176" i="1"/>
  <c r="R1177" i="1"/>
  <c r="S1177" i="1"/>
  <c r="N1178" i="1"/>
  <c r="R1178" i="1"/>
  <c r="S1178" i="1"/>
  <c r="N1179" i="1"/>
  <c r="R1179" i="1"/>
  <c r="S1179" i="1"/>
  <c r="N1180" i="1"/>
  <c r="R1180" i="1"/>
  <c r="S1180" i="1"/>
  <c r="N1181" i="1"/>
  <c r="R1181" i="1"/>
  <c r="S1181" i="1"/>
  <c r="N1182" i="1"/>
  <c r="R1182" i="1"/>
  <c r="S1182" i="1"/>
  <c r="N1183" i="1"/>
  <c r="R1183" i="1"/>
  <c r="S1183" i="1"/>
  <c r="N1184" i="1"/>
  <c r="R1184" i="1"/>
  <c r="S1184" i="1"/>
  <c r="N1185" i="1"/>
  <c r="R1185" i="1"/>
  <c r="S1185" i="1"/>
  <c r="N1186" i="1"/>
  <c r="R1186" i="1"/>
  <c r="S1186" i="1"/>
  <c r="N1187" i="1"/>
  <c r="S1187" i="1"/>
  <c r="N1188" i="1"/>
  <c r="S1188" i="1"/>
  <c r="N1189" i="1"/>
  <c r="S1189" i="1"/>
  <c r="N1190" i="1"/>
  <c r="S1190" i="1"/>
  <c r="N1191" i="1"/>
  <c r="S1191" i="1"/>
  <c r="N1192" i="1"/>
  <c r="S1192" i="1"/>
  <c r="N1193" i="1"/>
  <c r="S1193" i="1"/>
  <c r="N1194" i="1"/>
  <c r="S1194" i="1"/>
  <c r="R1195" i="1"/>
  <c r="S1195" i="1"/>
  <c r="N1196" i="1"/>
  <c r="R1196" i="1"/>
  <c r="S1196" i="1"/>
  <c r="N1197" i="1"/>
  <c r="R1197" i="1"/>
  <c r="S1197" i="1"/>
  <c r="N1198" i="1"/>
  <c r="R1198" i="1"/>
  <c r="S1198" i="1"/>
  <c r="N1199" i="1"/>
  <c r="R1199" i="1"/>
  <c r="S1199" i="1"/>
  <c r="N1200" i="1"/>
  <c r="R1200" i="1"/>
  <c r="S1200" i="1"/>
  <c r="N1201" i="1"/>
  <c r="R1201" i="1"/>
  <c r="S1201" i="1"/>
  <c r="N1202" i="1"/>
  <c r="R1202" i="1"/>
  <c r="S1202" i="1"/>
  <c r="N1203" i="1"/>
  <c r="R1203" i="1"/>
  <c r="S1203" i="1"/>
  <c r="N1204" i="1"/>
  <c r="R1204" i="1"/>
  <c r="S1204" i="1"/>
  <c r="S1205" i="1"/>
  <c r="N1206" i="1"/>
  <c r="R1206" i="1"/>
  <c r="S1206" i="1"/>
  <c r="N1207" i="1"/>
  <c r="R1207" i="1"/>
  <c r="S1207" i="1"/>
  <c r="N1208" i="1"/>
  <c r="R1208" i="1"/>
  <c r="S1208" i="1"/>
  <c r="R1209" i="1"/>
  <c r="S1209" i="1"/>
  <c r="N1210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N1224" i="1"/>
  <c r="R1224" i="1"/>
  <c r="S1224" i="1"/>
  <c r="N1225" i="1"/>
  <c r="R1225" i="1"/>
  <c r="S1225" i="1"/>
  <c r="R1226" i="1"/>
  <c r="S1226" i="1"/>
  <c r="R1227" i="1"/>
  <c r="S1227" i="1"/>
  <c r="R1228" i="1"/>
  <c r="S1228" i="1"/>
  <c r="N1229" i="1"/>
  <c r="R1229" i="1"/>
  <c r="S1229" i="1"/>
  <c r="N1230" i="1"/>
  <c r="R1230" i="1"/>
  <c r="S1230" i="1"/>
  <c r="R1231" i="1"/>
  <c r="S1231" i="1"/>
  <c r="N1232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N1239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N1248" i="1"/>
  <c r="R1248" i="1"/>
  <c r="S1248" i="1"/>
  <c r="N1249" i="1"/>
  <c r="R1249" i="1"/>
  <c r="S1249" i="1"/>
  <c r="N1250" i="1"/>
  <c r="R1250" i="1"/>
  <c r="S1250" i="1"/>
  <c r="N1251" i="1"/>
  <c r="R1251" i="1"/>
  <c r="S1251" i="1"/>
  <c r="N1252" i="1"/>
  <c r="R1252" i="1"/>
  <c r="S1252" i="1"/>
  <c r="N1253" i="1"/>
  <c r="R1253" i="1"/>
  <c r="S1253" i="1"/>
  <c r="N1254" i="1"/>
  <c r="R1254" i="1"/>
  <c r="S1254" i="1"/>
  <c r="R1255" i="1"/>
  <c r="S1255" i="1"/>
  <c r="R1256" i="1"/>
  <c r="S1256" i="1"/>
  <c r="R1257" i="1"/>
  <c r="S1257" i="1"/>
  <c r="R1258" i="1"/>
  <c r="S1258" i="1"/>
  <c r="N1259" i="1"/>
  <c r="R1259" i="1"/>
  <c r="S1259" i="1"/>
  <c r="N1260" i="1"/>
  <c r="R1260" i="1"/>
  <c r="S1260" i="1"/>
  <c r="N1261" i="1"/>
  <c r="R1261" i="1"/>
  <c r="S1261" i="1"/>
  <c r="N1262" i="1"/>
  <c r="R1262" i="1"/>
  <c r="S1262" i="1"/>
  <c r="N1263" i="1"/>
  <c r="R1263" i="1"/>
  <c r="S1263" i="1"/>
  <c r="N1264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S1271" i="1"/>
  <c r="S1272" i="1"/>
  <c r="S1273" i="1"/>
  <c r="R1274" i="1"/>
  <c r="S1274" i="1"/>
  <c r="R1275" i="1"/>
  <c r="S1275" i="1"/>
  <c r="R1276" i="1"/>
  <c r="S1276" i="1"/>
  <c r="S1277" i="1"/>
  <c r="S1278" i="1"/>
  <c r="S1279" i="1"/>
  <c r="S1280" i="1"/>
  <c r="S1281" i="1"/>
  <c r="S1282" i="1"/>
  <c r="S1283" i="1"/>
  <c r="N1284" i="1"/>
  <c r="R1284" i="1"/>
  <c r="S1284" i="1"/>
  <c r="N1285" i="1"/>
  <c r="R1285" i="1"/>
  <c r="S1285" i="1"/>
  <c r="N1286" i="1"/>
  <c r="R1286" i="1"/>
  <c r="S1286" i="1"/>
  <c r="N1287" i="1"/>
  <c r="R1287" i="1"/>
  <c r="S1287" i="1"/>
  <c r="N1288" i="1"/>
  <c r="R1288" i="1"/>
  <c r="S1288" i="1"/>
  <c r="N1289" i="1"/>
  <c r="S1289" i="1"/>
  <c r="N1290" i="1"/>
  <c r="S1290" i="1"/>
  <c r="N1291" i="1"/>
  <c r="S1291" i="1"/>
  <c r="N1292" i="1"/>
  <c r="S1292" i="1"/>
  <c r="N1293" i="1"/>
  <c r="S1293" i="1"/>
  <c r="N1294" i="1"/>
  <c r="R1294" i="1"/>
  <c r="S1294" i="1"/>
  <c r="N1295" i="1"/>
  <c r="R1295" i="1"/>
  <c r="S1295" i="1"/>
  <c r="N1296" i="1"/>
  <c r="R1296" i="1"/>
  <c r="S1296" i="1"/>
  <c r="N1297" i="1"/>
  <c r="R1297" i="1"/>
  <c r="S1297" i="1"/>
  <c r="N1298" i="1"/>
  <c r="R1298" i="1"/>
  <c r="S1298" i="1"/>
  <c r="N1299" i="1"/>
  <c r="R1299" i="1"/>
  <c r="S1299" i="1"/>
  <c r="N1300" i="1"/>
  <c r="R1300" i="1"/>
  <c r="S1300" i="1"/>
  <c r="N1301" i="1"/>
  <c r="R1301" i="1"/>
  <c r="S1301" i="1"/>
  <c r="N1302" i="1"/>
  <c r="R1302" i="1"/>
  <c r="S1302" i="1"/>
  <c r="N1303" i="1"/>
  <c r="R1303" i="1"/>
  <c r="S1303" i="1"/>
  <c r="N1304" i="1"/>
  <c r="R1304" i="1"/>
  <c r="S1304" i="1"/>
  <c r="N1305" i="1"/>
  <c r="R1305" i="1"/>
  <c r="S1305" i="1"/>
  <c r="N1306" i="1"/>
  <c r="R1306" i="1"/>
  <c r="S1306" i="1"/>
  <c r="N1307" i="1"/>
  <c r="R1307" i="1"/>
  <c r="S1307" i="1"/>
  <c r="N1308" i="1"/>
  <c r="R1308" i="1"/>
  <c r="S1308" i="1"/>
  <c r="N1309" i="1"/>
  <c r="R1309" i="1"/>
  <c r="S1309" i="1"/>
  <c r="N1310" i="1"/>
  <c r="R1310" i="1"/>
  <c r="S1310" i="1"/>
  <c r="N1311" i="1"/>
  <c r="R1311" i="1"/>
  <c r="S1311" i="1"/>
  <c r="N1312" i="1"/>
  <c r="R1312" i="1"/>
  <c r="S1312" i="1"/>
  <c r="N1313" i="1"/>
  <c r="R1313" i="1"/>
  <c r="S1313" i="1"/>
  <c r="N1314" i="1"/>
  <c r="R1314" i="1"/>
  <c r="S1314" i="1"/>
  <c r="N1315" i="1"/>
  <c r="R1315" i="1"/>
  <c r="S1315" i="1"/>
  <c r="N1316" i="1"/>
  <c r="R1316" i="1"/>
  <c r="S1316" i="1"/>
  <c r="N1317" i="1"/>
  <c r="R1317" i="1"/>
  <c r="S1317" i="1"/>
  <c r="N1318" i="1"/>
  <c r="R1318" i="1"/>
  <c r="S1318" i="1"/>
  <c r="N1319" i="1"/>
  <c r="R1319" i="1"/>
  <c r="S1319" i="1"/>
  <c r="N1320" i="1"/>
  <c r="R1320" i="1"/>
  <c r="S1320" i="1"/>
  <c r="N1321" i="1"/>
  <c r="R1321" i="1"/>
  <c r="S1321" i="1"/>
  <c r="N1322" i="1"/>
  <c r="R1322" i="1"/>
  <c r="S1322" i="1"/>
  <c r="N1323" i="1"/>
  <c r="R1323" i="1"/>
  <c r="S1323" i="1"/>
  <c r="N1324" i="1"/>
  <c r="R1324" i="1"/>
  <c r="S1324" i="1"/>
  <c r="N1325" i="1"/>
  <c r="R1325" i="1"/>
  <c r="S1325" i="1"/>
  <c r="N1326" i="1"/>
  <c r="R1326" i="1"/>
  <c r="S1326" i="1"/>
  <c r="N1327" i="1"/>
  <c r="R1327" i="1"/>
  <c r="S1327" i="1"/>
  <c r="N1328" i="1"/>
  <c r="R1328" i="1"/>
  <c r="S1328" i="1"/>
  <c r="N1329" i="1"/>
  <c r="R1329" i="1"/>
  <c r="S1329" i="1"/>
  <c r="N1330" i="1"/>
  <c r="R1330" i="1"/>
  <c r="S1330" i="1"/>
  <c r="N1331" i="1"/>
  <c r="R1331" i="1"/>
  <c r="S1331" i="1"/>
  <c r="N1332" i="1"/>
  <c r="R1332" i="1"/>
  <c r="S1332" i="1"/>
  <c r="N1333" i="1"/>
  <c r="R1333" i="1"/>
  <c r="S1333" i="1"/>
  <c r="N1334" i="1"/>
  <c r="R1334" i="1"/>
  <c r="S1334" i="1"/>
  <c r="N1335" i="1"/>
  <c r="R1335" i="1"/>
  <c r="S1335" i="1"/>
  <c r="N1336" i="1"/>
  <c r="R1336" i="1"/>
  <c r="S1336" i="1"/>
  <c r="N1337" i="1"/>
  <c r="R1337" i="1"/>
  <c r="S1337" i="1"/>
  <c r="N1338" i="1"/>
  <c r="R1338" i="1"/>
  <c r="S1338" i="1"/>
  <c r="N1339" i="1"/>
  <c r="R1339" i="1"/>
  <c r="S1339" i="1"/>
  <c r="N1340" i="1"/>
  <c r="R1340" i="1"/>
  <c r="S1340" i="1"/>
  <c r="N1341" i="1"/>
  <c r="R1341" i="1"/>
  <c r="S1341" i="1"/>
  <c r="N1342" i="1"/>
  <c r="R1342" i="1"/>
  <c r="S1342" i="1"/>
  <c r="N1343" i="1"/>
  <c r="R1343" i="1"/>
  <c r="S1343" i="1"/>
  <c r="N1344" i="1"/>
  <c r="R1344" i="1"/>
  <c r="S1344" i="1"/>
  <c r="N1345" i="1"/>
  <c r="R1345" i="1"/>
  <c r="S1345" i="1"/>
  <c r="N1346" i="1"/>
  <c r="R1346" i="1"/>
  <c r="S1346" i="1"/>
  <c r="N1347" i="1"/>
  <c r="R1347" i="1"/>
  <c r="S1347" i="1"/>
  <c r="N1348" i="1"/>
  <c r="S1348" i="1"/>
  <c r="N1349" i="1"/>
  <c r="S1349" i="1"/>
  <c r="N1350" i="1"/>
  <c r="S1350" i="1"/>
  <c r="N1351" i="1"/>
  <c r="S1351" i="1"/>
  <c r="N1352" i="1"/>
  <c r="S1352" i="1"/>
  <c r="N1353" i="1"/>
  <c r="S1353" i="1"/>
  <c r="N1354" i="1"/>
  <c r="S1354" i="1"/>
  <c r="N1355" i="1"/>
  <c r="S1355" i="1"/>
  <c r="N1356" i="1"/>
  <c r="S1356" i="1"/>
  <c r="N1357" i="1"/>
  <c r="S1357" i="1"/>
  <c r="N1358" i="1"/>
  <c r="S1358" i="1"/>
  <c r="N1359" i="1"/>
  <c r="S1359" i="1"/>
  <c r="N1360" i="1"/>
  <c r="R1360" i="1"/>
  <c r="S1360" i="1"/>
  <c r="N1361" i="1"/>
  <c r="R1361" i="1"/>
  <c r="S1361" i="1"/>
  <c r="N1362" i="1"/>
  <c r="R1362" i="1"/>
  <c r="S1362" i="1"/>
  <c r="N1363" i="1"/>
  <c r="R1363" i="1"/>
  <c r="S1363" i="1"/>
  <c r="N1364" i="1"/>
  <c r="R1364" i="1"/>
  <c r="S1364" i="1"/>
  <c r="N1365" i="1"/>
  <c r="R1365" i="1"/>
  <c r="S1365" i="1"/>
  <c r="N1366" i="1"/>
  <c r="R1366" i="1"/>
  <c r="S1366" i="1"/>
  <c r="N1367" i="1"/>
  <c r="R1367" i="1"/>
  <c r="S1367" i="1"/>
  <c r="N1368" i="1"/>
  <c r="R1368" i="1"/>
  <c r="S1368" i="1"/>
  <c r="N1369" i="1"/>
  <c r="R1369" i="1"/>
  <c r="S1369" i="1"/>
  <c r="N1370" i="1"/>
  <c r="R1370" i="1"/>
  <c r="S1370" i="1"/>
  <c r="N1371" i="1"/>
  <c r="R1371" i="1"/>
  <c r="S1371" i="1"/>
  <c r="N1372" i="1"/>
  <c r="R1372" i="1"/>
  <c r="S1372" i="1"/>
  <c r="S1373" i="1"/>
  <c r="N1374" i="1"/>
  <c r="R1374" i="1"/>
  <c r="S1374" i="1"/>
  <c r="N1375" i="1"/>
  <c r="R1375" i="1"/>
  <c r="S1375" i="1"/>
  <c r="N1376" i="1"/>
  <c r="R1376" i="1"/>
  <c r="S1376" i="1"/>
  <c r="N1377" i="1"/>
  <c r="R1377" i="1"/>
  <c r="S1377" i="1"/>
  <c r="N1378" i="1"/>
  <c r="R1378" i="1"/>
  <c r="S1378" i="1"/>
  <c r="N1379" i="1"/>
  <c r="R1379" i="1"/>
  <c r="S1379" i="1"/>
  <c r="N1380" i="1"/>
  <c r="R1380" i="1"/>
  <c r="S1380" i="1"/>
  <c r="N1381" i="1"/>
  <c r="R1381" i="1"/>
  <c r="S1381" i="1"/>
  <c r="N1382" i="1"/>
  <c r="R1382" i="1"/>
  <c r="S1382" i="1"/>
  <c r="N1383" i="1"/>
  <c r="R1383" i="1"/>
  <c r="S1383" i="1"/>
  <c r="N1384" i="1"/>
  <c r="S1384" i="1"/>
  <c r="N1385" i="1"/>
  <c r="R1385" i="1"/>
  <c r="S1385" i="1"/>
  <c r="N1386" i="1"/>
  <c r="R1386" i="1"/>
  <c r="S1386" i="1"/>
  <c r="N1387" i="1"/>
  <c r="R1387" i="1"/>
  <c r="S1387" i="1"/>
  <c r="N1388" i="1"/>
  <c r="R1388" i="1"/>
  <c r="S1388" i="1"/>
  <c r="N1389" i="1"/>
  <c r="R1389" i="1"/>
  <c r="S1389" i="1"/>
  <c r="N1390" i="1"/>
  <c r="R1390" i="1"/>
  <c r="S1390" i="1"/>
  <c r="N1391" i="1"/>
  <c r="R1391" i="1"/>
  <c r="S1391" i="1"/>
  <c r="N1392" i="1"/>
  <c r="R1392" i="1"/>
  <c r="S1392" i="1"/>
  <c r="N1393" i="1"/>
  <c r="R1393" i="1"/>
  <c r="S1393" i="1"/>
  <c r="N1394" i="1"/>
  <c r="R1394" i="1"/>
  <c r="S1394" i="1"/>
  <c r="N1395" i="1"/>
  <c r="R1395" i="1"/>
  <c r="S1395" i="1"/>
  <c r="N1396" i="1"/>
  <c r="R1396" i="1"/>
  <c r="S1396" i="1"/>
  <c r="N1397" i="1"/>
  <c r="R1397" i="1"/>
  <c r="S1397" i="1"/>
  <c r="N1398" i="1"/>
  <c r="R1398" i="1"/>
  <c r="S1398" i="1"/>
  <c r="N1399" i="1"/>
  <c r="R1399" i="1"/>
  <c r="S1399" i="1"/>
  <c r="N1400" i="1"/>
  <c r="R1400" i="1"/>
  <c r="S1400" i="1"/>
  <c r="N1401" i="1"/>
  <c r="R1401" i="1"/>
  <c r="S1401" i="1"/>
  <c r="N1402" i="1"/>
  <c r="R1402" i="1"/>
  <c r="S1402" i="1"/>
  <c r="N1403" i="1"/>
  <c r="R1403" i="1"/>
  <c r="S1403" i="1"/>
  <c r="N1404" i="1"/>
  <c r="R1404" i="1"/>
  <c r="S1404" i="1"/>
  <c r="N1405" i="1"/>
  <c r="R1405" i="1"/>
  <c r="S1405" i="1"/>
  <c r="N1406" i="1"/>
  <c r="R1406" i="1"/>
  <c r="S1406" i="1"/>
  <c r="N1407" i="1"/>
  <c r="R1407" i="1"/>
  <c r="S1407" i="1"/>
  <c r="N1408" i="1"/>
  <c r="R1408" i="1"/>
  <c r="S1408" i="1"/>
  <c r="N1409" i="1"/>
  <c r="R1409" i="1"/>
  <c r="S1409" i="1"/>
  <c r="N1410" i="1"/>
  <c r="R1410" i="1"/>
  <c r="S1410" i="1"/>
  <c r="N1411" i="1"/>
  <c r="R1411" i="1"/>
  <c r="S1411" i="1"/>
  <c r="N1412" i="1"/>
  <c r="R1412" i="1"/>
  <c r="S1412" i="1"/>
  <c r="N1413" i="1"/>
  <c r="R1413" i="1"/>
  <c r="S1413" i="1"/>
  <c r="N1414" i="1"/>
  <c r="R1414" i="1"/>
  <c r="S1414" i="1"/>
  <c r="N1415" i="1"/>
  <c r="R1415" i="1"/>
  <c r="S1415" i="1"/>
  <c r="N1416" i="1"/>
  <c r="R1416" i="1"/>
  <c r="S1416" i="1"/>
  <c r="N1417" i="1"/>
  <c r="R1417" i="1"/>
  <c r="S1417" i="1"/>
  <c r="N1418" i="1"/>
  <c r="R1418" i="1"/>
  <c r="S1418" i="1"/>
  <c r="N1419" i="1"/>
  <c r="R1419" i="1"/>
  <c r="S1419" i="1"/>
  <c r="N1420" i="1"/>
  <c r="R1420" i="1"/>
  <c r="S1420" i="1"/>
  <c r="N1421" i="1"/>
  <c r="R1421" i="1"/>
  <c r="S1421" i="1"/>
  <c r="N1422" i="1"/>
  <c r="R1422" i="1"/>
  <c r="S1422" i="1"/>
  <c r="N1423" i="1"/>
  <c r="R1423" i="1"/>
  <c r="S1423" i="1"/>
  <c r="N1424" i="1"/>
  <c r="R1424" i="1"/>
  <c r="S1424" i="1"/>
  <c r="N1425" i="1"/>
  <c r="R1425" i="1"/>
  <c r="S1425" i="1"/>
  <c r="N1426" i="1"/>
  <c r="R1426" i="1"/>
  <c r="S1426" i="1"/>
  <c r="N1427" i="1"/>
  <c r="R1427" i="1"/>
  <c r="S1427" i="1"/>
  <c r="N1428" i="1"/>
  <c r="R1428" i="1"/>
  <c r="S1428" i="1"/>
  <c r="N1429" i="1"/>
  <c r="R1429" i="1"/>
  <c r="S1429" i="1"/>
  <c r="N1430" i="1"/>
  <c r="R1430" i="1"/>
  <c r="S1430" i="1"/>
  <c r="N1431" i="1"/>
  <c r="R1431" i="1"/>
  <c r="S1431" i="1"/>
  <c r="N1432" i="1"/>
  <c r="R1432" i="1"/>
  <c r="S1432" i="1"/>
  <c r="N1433" i="1"/>
  <c r="R1433" i="1"/>
  <c r="S1433" i="1"/>
  <c r="N1434" i="1"/>
  <c r="R1434" i="1"/>
  <c r="S1434" i="1"/>
  <c r="N1435" i="1"/>
  <c r="R1435" i="1"/>
  <c r="S1435" i="1"/>
  <c r="N1436" i="1"/>
  <c r="R1436" i="1"/>
  <c r="S1436" i="1"/>
  <c r="N1437" i="1"/>
  <c r="R1437" i="1"/>
  <c r="S1437" i="1"/>
  <c r="N1438" i="1"/>
  <c r="R1438" i="1"/>
  <c r="S1438" i="1"/>
  <c r="N1439" i="1"/>
  <c r="R1439" i="1"/>
  <c r="S1439" i="1"/>
  <c r="N1440" i="1"/>
  <c r="R1440" i="1"/>
  <c r="S1440" i="1"/>
  <c r="N1441" i="1"/>
  <c r="R1441" i="1"/>
  <c r="S1441" i="1"/>
  <c r="N1442" i="1"/>
  <c r="R1442" i="1"/>
  <c r="S1442" i="1"/>
  <c r="N1443" i="1"/>
  <c r="R1443" i="1"/>
  <c r="S1443" i="1"/>
  <c r="N1444" i="1"/>
  <c r="R1444" i="1"/>
  <c r="S1444" i="1"/>
  <c r="N1445" i="1"/>
  <c r="R1445" i="1"/>
  <c r="S1445" i="1"/>
  <c r="N1446" i="1"/>
  <c r="R1446" i="1"/>
  <c r="S1446" i="1"/>
  <c r="N1447" i="1"/>
  <c r="R1447" i="1"/>
  <c r="S1447" i="1"/>
  <c r="N1448" i="1"/>
  <c r="R1448" i="1"/>
  <c r="S1448" i="1"/>
  <c r="N1449" i="1"/>
  <c r="R1449" i="1"/>
  <c r="S1449" i="1"/>
  <c r="N1450" i="1"/>
  <c r="R1450" i="1"/>
  <c r="S1450" i="1"/>
  <c r="N1451" i="1"/>
  <c r="R1451" i="1"/>
  <c r="S1451" i="1"/>
  <c r="N1452" i="1"/>
  <c r="R1452" i="1"/>
  <c r="S1452" i="1"/>
  <c r="N1453" i="1"/>
  <c r="R1453" i="1"/>
  <c r="S1453" i="1"/>
  <c r="N1454" i="1"/>
  <c r="R1454" i="1"/>
  <c r="S1454" i="1"/>
  <c r="N1455" i="1"/>
  <c r="R1455" i="1"/>
  <c r="S1455" i="1"/>
  <c r="R1456" i="1"/>
  <c r="S1456" i="1"/>
  <c r="N1457" i="1"/>
  <c r="S1457" i="1"/>
  <c r="N1458" i="1"/>
  <c r="R1458" i="1"/>
  <c r="S1458" i="1"/>
  <c r="N1459" i="1"/>
  <c r="R1459" i="1"/>
  <c r="S1459" i="1"/>
  <c r="N1460" i="1"/>
  <c r="R1460" i="1"/>
  <c r="S1460" i="1"/>
  <c r="R1461" i="1"/>
  <c r="S1461" i="1"/>
  <c r="R1462" i="1"/>
  <c r="S1462" i="1"/>
  <c r="N1463" i="1"/>
  <c r="R1463" i="1"/>
  <c r="S1463" i="1"/>
  <c r="N1464" i="1"/>
  <c r="R1464" i="1"/>
  <c r="S1464" i="1"/>
  <c r="N1465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N1476" i="1"/>
  <c r="R1476" i="1"/>
  <c r="S1476" i="1"/>
  <c r="R1477" i="1"/>
  <c r="S1477" i="1"/>
  <c r="N1478" i="1"/>
  <c r="R1478" i="1"/>
  <c r="S1478" i="1"/>
  <c r="N1479" i="1"/>
  <c r="R1479" i="1"/>
  <c r="S1479" i="1"/>
  <c r="N1480" i="1"/>
  <c r="R1480" i="1"/>
  <c r="S1480" i="1"/>
  <c r="N1481" i="1"/>
  <c r="R1481" i="1"/>
  <c r="S1481" i="1"/>
  <c r="N1482" i="1"/>
  <c r="R1482" i="1"/>
  <c r="S1482" i="1"/>
  <c r="N1483" i="1"/>
  <c r="R1483" i="1"/>
  <c r="S1483" i="1"/>
  <c r="N1484" i="1"/>
  <c r="R1484" i="1"/>
  <c r="S1484" i="1"/>
  <c r="N1485" i="1"/>
  <c r="R1485" i="1"/>
  <c r="S1485" i="1"/>
  <c r="N1486" i="1"/>
  <c r="R1486" i="1"/>
  <c r="S1486" i="1"/>
  <c r="N1487" i="1"/>
  <c r="R1487" i="1"/>
  <c r="S1487" i="1"/>
  <c r="N1488" i="1"/>
  <c r="R1488" i="1"/>
  <c r="S1488" i="1"/>
  <c r="N1489" i="1"/>
  <c r="R1489" i="1"/>
  <c r="S1489" i="1"/>
  <c r="N1490" i="1"/>
  <c r="R1490" i="1"/>
  <c r="S1490" i="1"/>
  <c r="N1491" i="1"/>
  <c r="R1491" i="1"/>
  <c r="S1491" i="1"/>
  <c r="N1492" i="1"/>
  <c r="R1492" i="1"/>
  <c r="S1492" i="1"/>
  <c r="N1493" i="1"/>
  <c r="R1493" i="1"/>
  <c r="S1493" i="1"/>
  <c r="N1494" i="1"/>
  <c r="R1494" i="1"/>
  <c r="S1494" i="1"/>
  <c r="N1495" i="1"/>
  <c r="R1495" i="1"/>
  <c r="S1495" i="1"/>
  <c r="N1496" i="1"/>
  <c r="R1496" i="1"/>
  <c r="S1496" i="1"/>
  <c r="N1497" i="1"/>
  <c r="R1497" i="1"/>
  <c r="S1497" i="1"/>
  <c r="N1498" i="1"/>
  <c r="R1498" i="1"/>
  <c r="S1498" i="1"/>
  <c r="N1499" i="1"/>
  <c r="R1499" i="1"/>
  <c r="S1499" i="1"/>
  <c r="N1500" i="1"/>
  <c r="R1500" i="1"/>
  <c r="S1500" i="1"/>
  <c r="N1501" i="1"/>
  <c r="R1501" i="1"/>
  <c r="S1501" i="1"/>
  <c r="N1502" i="1"/>
  <c r="R1502" i="1"/>
  <c r="S1502" i="1"/>
  <c r="N1503" i="1"/>
  <c r="R1503" i="1"/>
  <c r="S1503" i="1"/>
  <c r="N1504" i="1"/>
  <c r="R1504" i="1"/>
  <c r="S1504" i="1"/>
  <c r="N1505" i="1"/>
  <c r="R1505" i="1"/>
  <c r="S1505" i="1"/>
  <c r="N1506" i="1"/>
  <c r="R1506" i="1"/>
  <c r="S1506" i="1"/>
  <c r="N1507" i="1"/>
  <c r="R1507" i="1"/>
  <c r="S1507" i="1"/>
  <c r="N1508" i="1"/>
  <c r="R1508" i="1"/>
  <c r="S1508" i="1"/>
  <c r="N1509" i="1"/>
  <c r="R1509" i="1"/>
  <c r="S1509" i="1"/>
  <c r="N1510" i="1"/>
  <c r="R1510" i="1"/>
  <c r="S1510" i="1"/>
  <c r="N1511" i="1"/>
  <c r="R1511" i="1"/>
  <c r="S1511" i="1"/>
  <c r="N1512" i="1"/>
  <c r="R1512" i="1"/>
  <c r="S1512" i="1"/>
  <c r="N1513" i="1"/>
  <c r="R1513" i="1"/>
  <c r="S1513" i="1"/>
  <c r="N1514" i="1"/>
  <c r="R1514" i="1"/>
  <c r="S1514" i="1"/>
  <c r="N1515" i="1"/>
  <c r="R1515" i="1"/>
  <c r="S1515" i="1"/>
  <c r="N1516" i="1"/>
  <c r="R1516" i="1"/>
  <c r="S1516" i="1"/>
  <c r="N1517" i="1"/>
  <c r="R1517" i="1"/>
  <c r="S1517" i="1"/>
  <c r="N1518" i="1"/>
  <c r="R1518" i="1"/>
  <c r="S1518" i="1"/>
  <c r="N1519" i="1"/>
  <c r="R1519" i="1"/>
  <c r="S1519" i="1"/>
  <c r="N1520" i="1"/>
  <c r="R1520" i="1"/>
  <c r="S1520" i="1"/>
  <c r="N1521" i="1"/>
  <c r="R1521" i="1"/>
  <c r="S1521" i="1"/>
  <c r="N1522" i="1"/>
  <c r="R1522" i="1"/>
  <c r="S1522" i="1"/>
  <c r="N1523" i="1"/>
  <c r="R1523" i="1"/>
  <c r="S1523" i="1"/>
  <c r="N1524" i="1"/>
  <c r="R1524" i="1"/>
  <c r="S1524" i="1"/>
  <c r="N1525" i="1"/>
  <c r="R1525" i="1"/>
  <c r="S1525" i="1"/>
  <c r="N1526" i="1"/>
  <c r="R1526" i="1"/>
  <c r="S1526" i="1"/>
  <c r="N1527" i="1"/>
  <c r="R1527" i="1"/>
  <c r="S1527" i="1"/>
  <c r="N1528" i="1"/>
  <c r="R1528" i="1"/>
  <c r="S1528" i="1"/>
  <c r="N1529" i="1"/>
  <c r="R1529" i="1"/>
  <c r="S1529" i="1"/>
  <c r="N1530" i="1"/>
  <c r="R1530" i="1"/>
  <c r="S1530" i="1"/>
  <c r="N1531" i="1"/>
  <c r="R1531" i="1"/>
  <c r="S1531" i="1"/>
  <c r="N1532" i="1"/>
  <c r="R1532" i="1"/>
  <c r="S1532" i="1"/>
  <c r="N1533" i="1"/>
  <c r="R1533" i="1"/>
  <c r="S1533" i="1"/>
  <c r="N1534" i="1"/>
  <c r="R1534" i="1"/>
  <c r="S1534" i="1"/>
  <c r="N1535" i="1"/>
  <c r="R1535" i="1"/>
  <c r="S1535" i="1"/>
  <c r="N1536" i="1"/>
  <c r="R1536" i="1"/>
  <c r="S1536" i="1"/>
  <c r="N1537" i="1"/>
  <c r="R1537" i="1"/>
  <c r="S1537" i="1"/>
  <c r="N1538" i="1"/>
  <c r="R1538" i="1"/>
  <c r="S1538" i="1"/>
  <c r="N1539" i="1"/>
  <c r="R1539" i="1"/>
  <c r="S1539" i="1"/>
  <c r="N1540" i="1"/>
  <c r="R1540" i="1"/>
  <c r="S1540" i="1"/>
  <c r="N1541" i="1"/>
  <c r="R1541" i="1"/>
  <c r="S1541" i="1"/>
  <c r="N1542" i="1"/>
  <c r="R1542" i="1"/>
  <c r="S1542" i="1"/>
  <c r="N1543" i="1"/>
  <c r="R1543" i="1"/>
  <c r="S1543" i="1"/>
  <c r="N1544" i="1"/>
  <c r="R1544" i="1"/>
  <c r="S1544" i="1"/>
  <c r="N1545" i="1"/>
  <c r="R1545" i="1"/>
  <c r="S1545" i="1"/>
  <c r="N1546" i="1"/>
  <c r="R1546" i="1"/>
  <c r="S1546" i="1"/>
  <c r="N1547" i="1"/>
  <c r="R1547" i="1"/>
  <c r="S1547" i="1"/>
  <c r="N1548" i="1"/>
  <c r="R1548" i="1"/>
  <c r="S1548" i="1"/>
  <c r="N1549" i="1"/>
  <c r="R1549" i="1"/>
  <c r="S1549" i="1"/>
  <c r="N1550" i="1"/>
  <c r="R1550" i="1"/>
  <c r="S1550" i="1"/>
  <c r="N1551" i="1"/>
  <c r="R1551" i="1"/>
  <c r="S1551" i="1"/>
  <c r="N1552" i="1"/>
  <c r="R1552" i="1"/>
  <c r="S1552" i="1"/>
  <c r="N1553" i="1"/>
  <c r="R1553" i="1"/>
  <c r="S1553" i="1"/>
  <c r="N1554" i="1"/>
  <c r="R1554" i="1"/>
  <c r="S1554" i="1"/>
  <c r="N1555" i="1"/>
  <c r="R1555" i="1"/>
  <c r="S1555" i="1"/>
  <c r="N1556" i="1"/>
  <c r="R1556" i="1"/>
  <c r="S1556" i="1"/>
  <c r="N1557" i="1"/>
  <c r="R1557" i="1"/>
  <c r="S1557" i="1"/>
  <c r="N1558" i="1"/>
  <c r="R1558" i="1"/>
  <c r="S1558" i="1"/>
  <c r="N1559" i="1"/>
  <c r="R1559" i="1"/>
  <c r="S1559" i="1"/>
  <c r="N1560" i="1"/>
  <c r="R1560" i="1"/>
  <c r="S1560" i="1"/>
  <c r="N1561" i="1"/>
  <c r="R1561" i="1"/>
  <c r="S1561" i="1"/>
  <c r="N1562" i="1"/>
  <c r="R1562" i="1"/>
  <c r="S1562" i="1"/>
  <c r="N1563" i="1"/>
  <c r="R1563" i="1"/>
  <c r="S1563" i="1"/>
  <c r="N1564" i="1"/>
  <c r="R1564" i="1"/>
  <c r="S1564" i="1"/>
  <c r="N1565" i="1"/>
  <c r="R1565" i="1"/>
  <c r="S1565" i="1"/>
  <c r="N1566" i="1"/>
  <c r="R1566" i="1"/>
  <c r="S1566" i="1"/>
  <c r="N1567" i="1"/>
  <c r="R1567" i="1"/>
  <c r="S1567" i="1"/>
  <c r="N1568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N1586" i="1"/>
  <c r="S1586" i="1"/>
  <c r="N1587" i="1"/>
  <c r="R1587" i="1"/>
  <c r="S1587" i="1"/>
  <c r="S1588" i="1"/>
  <c r="S1589" i="1"/>
  <c r="S1590" i="1"/>
  <c r="S1591" i="1"/>
  <c r="S1592" i="1"/>
  <c r="N1593" i="1"/>
  <c r="R1593" i="1"/>
  <c r="S1593" i="1"/>
  <c r="R1594" i="1"/>
  <c r="S1594" i="1"/>
  <c r="R1595" i="1"/>
  <c r="S1595" i="1"/>
  <c r="R1596" i="1"/>
  <c r="S1596" i="1"/>
  <c r="N1597" i="1"/>
  <c r="R1597" i="1"/>
  <c r="S1597" i="1"/>
  <c r="N1598" i="1"/>
  <c r="R1598" i="1"/>
  <c r="S1598" i="1"/>
  <c r="N1599" i="1"/>
  <c r="R1599" i="1"/>
  <c r="S1599" i="1"/>
  <c r="N1600" i="1"/>
  <c r="R1600" i="1"/>
  <c r="S1600" i="1"/>
  <c r="N1601" i="1"/>
  <c r="R1601" i="1"/>
  <c r="S1601" i="1"/>
  <c r="N1602" i="1"/>
  <c r="R1602" i="1"/>
  <c r="S1602" i="1"/>
  <c r="N1603" i="1"/>
  <c r="R1603" i="1"/>
  <c r="S1603" i="1"/>
  <c r="N1604" i="1"/>
  <c r="R1604" i="1"/>
  <c r="S1604" i="1"/>
  <c r="N1605" i="1"/>
  <c r="R1605" i="1"/>
  <c r="S1605" i="1"/>
  <c r="N1606" i="1"/>
  <c r="R1606" i="1"/>
  <c r="S1606" i="1"/>
  <c r="N1607" i="1"/>
  <c r="R1607" i="1"/>
  <c r="S1607" i="1"/>
  <c r="N1608" i="1"/>
  <c r="R1608" i="1"/>
  <c r="S1608" i="1"/>
  <c r="N1609" i="1"/>
  <c r="R1609" i="1"/>
  <c r="S1609" i="1"/>
  <c r="N1610" i="1"/>
  <c r="R1610" i="1"/>
  <c r="S1610" i="1"/>
  <c r="N1611" i="1"/>
  <c r="R1611" i="1"/>
  <c r="S1611" i="1"/>
  <c r="N1612" i="1"/>
  <c r="R1612" i="1"/>
  <c r="S1612" i="1"/>
  <c r="N1613" i="1"/>
  <c r="R1613" i="1"/>
  <c r="S1613" i="1"/>
  <c r="N1614" i="1"/>
  <c r="R1614" i="1"/>
  <c r="S1614" i="1"/>
  <c r="N1615" i="1"/>
  <c r="R1615" i="1"/>
  <c r="S1615" i="1"/>
  <c r="N1616" i="1"/>
  <c r="R1616" i="1"/>
  <c r="S1616" i="1"/>
  <c r="N1617" i="1"/>
  <c r="R1617" i="1"/>
  <c r="S1617" i="1"/>
  <c r="N1618" i="1"/>
  <c r="R1618" i="1"/>
  <c r="S1618" i="1"/>
  <c r="N1619" i="1"/>
  <c r="R1619" i="1"/>
  <c r="S1619" i="1"/>
  <c r="N1620" i="1"/>
  <c r="R1620" i="1"/>
  <c r="S1620" i="1"/>
  <c r="N1621" i="1"/>
  <c r="R1621" i="1"/>
  <c r="S1621" i="1"/>
  <c r="N1622" i="1"/>
  <c r="R1622" i="1"/>
  <c r="S1622" i="1"/>
  <c r="N1623" i="1"/>
  <c r="R1623" i="1"/>
  <c r="S1623" i="1"/>
  <c r="R1624" i="1"/>
  <c r="S1624" i="1"/>
</calcChain>
</file>

<file path=xl/sharedStrings.xml><?xml version="1.0" encoding="utf-8"?>
<sst xmlns="http://schemas.openxmlformats.org/spreadsheetml/2006/main" count="14718" uniqueCount="7163">
  <si>
    <t>Book ID</t>
  </si>
  <si>
    <t>Title</t>
  </si>
  <si>
    <t>Subtitle</t>
  </si>
  <si>
    <t>Contract Publisher</t>
  </si>
  <si>
    <t>Imprint Publisher</t>
  </si>
  <si>
    <t>Pub Year</t>
  </si>
  <si>
    <t>BISAC</t>
  </si>
  <si>
    <t>LCC</t>
  </si>
  <si>
    <t>LCSH</t>
  </si>
  <si>
    <t>Language</t>
  </si>
  <si>
    <t>Format</t>
  </si>
  <si>
    <t>Downloadable</t>
  </si>
  <si>
    <t>Author</t>
  </si>
  <si>
    <t>DDC</t>
  </si>
  <si>
    <t>Series</t>
  </si>
  <si>
    <t>Fiction</t>
  </si>
  <si>
    <t>Abridged</t>
  </si>
  <si>
    <t>ISBN</t>
  </si>
  <si>
    <t>eISBN</t>
  </si>
  <si>
    <t>OCN</t>
  </si>
  <si>
    <t>We Write What We Like</t>
  </si>
  <si>
    <t>Celebrating Steve Biko</t>
  </si>
  <si>
    <t>Wits University Press</t>
  </si>
  <si>
    <t>POLITICAL SCIENCE / Political Freedom</t>
  </si>
  <si>
    <t>eng</t>
  </si>
  <si>
    <t>PDF</t>
  </si>
  <si>
    <t>Darryl Accone-Zithulele Cindi-Saths Cooper-Duncan Innes-Jonathan Jansen-Bokwe Mafuna-Mosibudi Mangena-Thabo Mbeki-Veli Mbele-Achille Mbembe-Lizeka Mda-Pandelani Nefolovhodwe-Mandla Seleoane-Mathatha Tsedu-Chris van Wyk</t>
  </si>
  <si>
    <t>Working with Rock Art</t>
  </si>
  <si>
    <t>Recording, Presenting and Understanding Rock Art Using Indigenous Knowledge</t>
  </si>
  <si>
    <t>SOCIAL SCIENCE / Archaeology</t>
  </si>
  <si>
    <t>Neville Agnew-Christopher Chippindale-Janette Deacon-Knut Helskog-Anne-Sophie Hygen-Pieter Jolly-Gitte Kjeldsen-Antti Lahelma-Tilman Lenssen-Erz-Trond LÃ¸dÃ¸en-Dipuo W. Mokokwe-David Morris-Catherine Namono-Ndukuyakhe Ndlovu-Terje Norsted-David Pearce-Juha PentikÃ¤inen-Alexey E. Rogozhinskiy-Andrzej Rozwadowski-Thembi Russell-Paul TaÃ§on-Lindsay Weiss-David S. Whitley-Leslie Zubieta</t>
  </si>
  <si>
    <t>Introduction to Aegean Art</t>
  </si>
  <si>
    <t>Casemate Publishers &amp; Book Distributors, LLC</t>
  </si>
  <si>
    <t>INSTAP Academic Press (Institute for Aegean Prehistory)</t>
  </si>
  <si>
    <t>HISTORY / Ancient / Greece</t>
  </si>
  <si>
    <t>Philip P. Betancourt</t>
  </si>
  <si>
    <t>Power Lines</t>
  </si>
  <si>
    <t>And Other Stories</t>
  </si>
  <si>
    <t>Chicago Distribution Center (CDC Presses)</t>
  </si>
  <si>
    <t>University of Arkansas Press</t>
  </si>
  <si>
    <t>FICTION / General</t>
  </si>
  <si>
    <t>PS3552.R2274 P6 1989</t>
  </si>
  <si>
    <t>Women--Fiction.</t>
  </si>
  <si>
    <t>Bradley, Jane</t>
  </si>
  <si>
    <t>Advances in Architectural Geometry 2010</t>
  </si>
  <si>
    <t>De Gruyter</t>
  </si>
  <si>
    <t>Ambra Verlag</t>
  </si>
  <si>
    <t>TECHNOLOGY &amp; ENGINEERING / Civil / General</t>
  </si>
  <si>
    <t>Cristiano Ceccato-Lars Hesselgren-Mark Pauly-Helmut Pottmann-Johannes Wallner</t>
  </si>
  <si>
    <t>Lee Konitz</t>
  </si>
  <si>
    <t>Conversations on the Improviser's Art</t>
  </si>
  <si>
    <t>University of Michigan Press</t>
  </si>
  <si>
    <t>MUSIC / General</t>
  </si>
  <si>
    <t>ML419.K66 H36 2007</t>
  </si>
  <si>
    <t>Jazz musicians--United States--Interviews.,Jazz--History and criticism.,Musicians--Interviews.,Saxophonists--United States--Interviews.</t>
  </si>
  <si>
    <t>EPUB</t>
  </si>
  <si>
    <t>Hamilton, Andy-Konitz, Lee.</t>
  </si>
  <si>
    <t>Jazz Perspectives</t>
  </si>
  <si>
    <t>The Nauvoo City and High Council Minutes</t>
  </si>
  <si>
    <t>Signature Books</t>
  </si>
  <si>
    <t>HISTORY / General</t>
  </si>
  <si>
    <t>F549.N37 N38 2011eb</t>
  </si>
  <si>
    <t>Dinger, John S.-Nauvoo (Ill.)-Church of Jesus Christ of Latter-day Saints.</t>
  </si>
  <si>
    <t>Syrian Jewry in Transition, 1840-1880</t>
  </si>
  <si>
    <t>Oxford University Press USA</t>
  </si>
  <si>
    <t>The Littman Library of Jewish Civilization in association with Liverpool University Press</t>
  </si>
  <si>
    <t>HISTORY / Jewish</t>
  </si>
  <si>
    <t>DS135.S95</t>
  </si>
  <si>
    <t>Jews--Cultural assimilation--Syria--19th century.,Jews--Legal status, laws, etc.--Syria--19th century.,Jews--Syria--History--19th century.,Jews--Syria--Social conditions--19th century.</t>
  </si>
  <si>
    <t>Harel, Yaron.</t>
  </si>
  <si>
    <t>The Littman Library of Jewish Civilization</t>
  </si>
  <si>
    <t>Haskalah and Hasidism in the Kingdom of Poland</t>
  </si>
  <si>
    <t>A History of Conflict</t>
  </si>
  <si>
    <t>SOCIAL SCIENCE / Jewish Studies</t>
  </si>
  <si>
    <t>BM198.4.P6 W6313 2005</t>
  </si>
  <si>
    <t>Hasidism--Controversial literature--History and criticism.,Hasidism--Poland--History--19th century.,Haskalah--Poland.</t>
  </si>
  <si>
    <t>WodzinÌski, Marcin.</t>
  </si>
  <si>
    <t>Littman Library of Jewish Civilization</t>
  </si>
  <si>
    <t>Hasidic Tale</t>
  </si>
  <si>
    <t>BM532 .N5413 2008eb</t>
  </si>
  <si>
    <t>Hasidic parables--Themes, motives.,Hasidim--Legends--Themes, motives.</t>
  </si>
  <si>
    <t>Nigal, Gedalyah.</t>
  </si>
  <si>
    <t>Jewish Mysticism</t>
  </si>
  <si>
    <t>The Infinite Expression of Freedom</t>
  </si>
  <si>
    <t>RELIGION / Judaism / Rituals &amp; Practice</t>
  </si>
  <si>
    <t>BM723 .E49513 2010eb</t>
  </si>
  <si>
    <t>Mysticism--Judaism.</t>
  </si>
  <si>
    <t>Elior, Rachel.-Nave, Yudith.-Millman, Arthur B.</t>
  </si>
  <si>
    <t>Opening the Doors: A Prison Chaplainâ€™s Life on the Inside</t>
  </si>
  <si>
    <t>Waterside Press</t>
  </si>
  <si>
    <t>Gill, Paul</t>
  </si>
  <si>
    <t>The South in Modern America</t>
  </si>
  <si>
    <t>A Region at Odds</t>
  </si>
  <si>
    <t>F215 .G75 2001eb</t>
  </si>
  <si>
    <t>Grantham, Dewey W.</t>
  </si>
  <si>
    <t>The Other Brahmins</t>
  </si>
  <si>
    <t>Boston's Black Upper Class 1750-1950</t>
  </si>
  <si>
    <t>SOCIAL SCIENCE / General</t>
  </si>
  <si>
    <t>F73.9.N4 C76 1994</t>
  </si>
  <si>
    <t>African Americans--Massachusetts--Boston--Social conditions.,Elite (Social sciences)--Massachusetts--Boston--History.,Upper class--Massachusetts--Boston--History.</t>
  </si>
  <si>
    <t>Cromwell, Adelaide M.</t>
  </si>
  <si>
    <t>Black Community Studies</t>
  </si>
  <si>
    <t>The Jungles of Arkansas</t>
  </si>
  <si>
    <t>A Personal History of the Wonder State</t>
  </si>
  <si>
    <t>LITERARY COLLECTIONS / General</t>
  </si>
  <si>
    <t>F411.5 .L36 1989eb</t>
  </si>
  <si>
    <t>Lancaster, Bob.</t>
  </si>
  <si>
    <t>Rebellion and Realignment</t>
  </si>
  <si>
    <t>Arkansas's Road to Secession</t>
  </si>
  <si>
    <t>F411 .W63 1987</t>
  </si>
  <si>
    <t>Secession--Arkansas.</t>
  </si>
  <si>
    <t>Woods, James M.</t>
  </si>
  <si>
    <t>Pres</t>
  </si>
  <si>
    <t>The Story of Lester Young</t>
  </si>
  <si>
    <t>BIOGRAPHY &amp; AUTOBIOGRAPHY / General</t>
  </si>
  <si>
    <t>ML419.Y7 D413 1993</t>
  </si>
  <si>
    <t>Jazz musicians--United States--Biography.</t>
  </si>
  <si>
    <t>Delannoy, Luc.</t>
  </si>
  <si>
    <t>Breaking the Silence</t>
  </si>
  <si>
    <t>The Little Rock Women's Emergency Committee to Open Our Schools, 1958â€“1963</t>
  </si>
  <si>
    <t>LC212.523.L58 M87 1997</t>
  </si>
  <si>
    <t>Segregation in education--Arkansas--Little Rock--History--20th century.,Women, White--Political activity--Arkansas--Little Rock--History--20th century.</t>
  </si>
  <si>
    <t>Murphy, Sara Alderman-Murphy, Patrick C.</t>
  </si>
  <si>
    <t>New and Selected Poems</t>
  </si>
  <si>
    <t>1956-1996</t>
  </si>
  <si>
    <t>POETRY / General</t>
  </si>
  <si>
    <t>PS3551.P6 A6 1996</t>
  </si>
  <si>
    <t>American poetry.,Poetry.</t>
  </si>
  <si>
    <t>Appleman, Philip</t>
  </si>
  <si>
    <t>Arkansas Archaeology</t>
  </si>
  <si>
    <t>Essays in Honor of Dan and Phyllis Morse</t>
  </si>
  <si>
    <t>E78.A8 A715 1999</t>
  </si>
  <si>
    <t>Archaeologists--Arkansas--Biography.,Excavations (Archaeology)--Arkansas.,Indians of North America--Arkansas--Antiquities.</t>
  </si>
  <si>
    <t>Mainfort, Robert C.-Jeter, Marvin D.-Morse, Dan F.-Morse, Phyllis A.</t>
  </si>
  <si>
    <t>T.S. Eliot</t>
  </si>
  <si>
    <t>Liverpool University Press</t>
  </si>
  <si>
    <t>LITERARY CRITICISM / General</t>
  </si>
  <si>
    <t>PS3509.L43 Z697 2006</t>
  </si>
  <si>
    <t>MacCabe, Colin</t>
  </si>
  <si>
    <t>Writers and Their Work</t>
  </si>
  <si>
    <t>Virginia Woolf</t>
  </si>
  <si>
    <t>PR6045.O72 Z8148 2004</t>
  </si>
  <si>
    <t>Authors, English.</t>
  </si>
  <si>
    <t>Marcus, Laura</t>
  </si>
  <si>
    <t>G.K. Chesterton</t>
  </si>
  <si>
    <t>LITERARY CRITICISM / European / English, Irish, Scottish, Welsh</t>
  </si>
  <si>
    <t>PR4453.C4 Z655 2012</t>
  </si>
  <si>
    <t>Hurley, Michael D.</t>
  </si>
  <si>
    <t>Robert Burns</t>
  </si>
  <si>
    <t>POETRY / European / English, Irish, Scottish, Welsh</t>
  </si>
  <si>
    <t>PR4338 .C35 2006</t>
  </si>
  <si>
    <t>Carruthers, Gerard</t>
  </si>
  <si>
    <t>Rosamond Lehmann</t>
  </si>
  <si>
    <t>PR6023.E42 Z883 2011</t>
  </si>
  <si>
    <t>Simons, Judy</t>
  </si>
  <si>
    <t>Salman Rushdie</t>
  </si>
  <si>
    <t>PR6068.U757 Z627 2012</t>
  </si>
  <si>
    <t>Grant, Damian</t>
  </si>
  <si>
    <t>Katherine Mansfield</t>
  </si>
  <si>
    <t>PR9639.3.M258 Z5848 2003eb</t>
  </si>
  <si>
    <t>Bennett, Andrew-British Council.</t>
  </si>
  <si>
    <t>Margaret Drabble</t>
  </si>
  <si>
    <t>PR6054.R25 Z74 2005eb</t>
  </si>
  <si>
    <t>Leeming, Glenda-British Council.</t>
  </si>
  <si>
    <t>Marina Warner</t>
  </si>
  <si>
    <t>PR6073.A7274 Z55 2005eb</t>
  </si>
  <si>
    <t>Coupe, Laurence-British Council.</t>
  </si>
  <si>
    <t>Seamus Heaney</t>
  </si>
  <si>
    <t>PR6058.E2</t>
  </si>
  <si>
    <t>Murphy, Andrew-British Council.</t>
  </si>
  <si>
    <t>John Dryden</t>
  </si>
  <si>
    <t>PR3424</t>
  </si>
  <si>
    <t>Hopkins, David-British Council.</t>
  </si>
  <si>
    <t>Carol Ann Duffy</t>
  </si>
  <si>
    <t>LITERARY CRITICISM / Poetry</t>
  </si>
  <si>
    <t>PR6054.U38 Z85 2010</t>
  </si>
  <si>
    <t>Rees-Jones, Deryn</t>
  </si>
  <si>
    <t>Caryl Churchill</t>
  </si>
  <si>
    <t>PR6053.H78 Z525 2010</t>
  </si>
  <si>
    <t>Aston, Elaine-British Council.</t>
  </si>
  <si>
    <t>Caryl Phillips</t>
  </si>
  <si>
    <t>PR9275.S263 P487 2007</t>
  </si>
  <si>
    <t>Blacks in literature.,Racism in literature.,Slavery in literature.</t>
  </si>
  <si>
    <t>Thomas, Helen</t>
  </si>
  <si>
    <t>Children's Literature</t>
  </si>
  <si>
    <t>From the Fin De Siecle to the New Millennium</t>
  </si>
  <si>
    <t>LITERARY CRITICISM / Children's &amp; Young Adult Literature</t>
  </si>
  <si>
    <t>PN1009.A1</t>
  </si>
  <si>
    <t>Children--Books and reading--Great Britain.,Children's literature--History and criticism.</t>
  </si>
  <si>
    <t>Reynolds, Kimberley</t>
  </si>
  <si>
    <t>Crime Fiction</t>
  </si>
  <si>
    <t>From Poe to the Present</t>
  </si>
  <si>
    <t>PN3448.D4 P73 2013</t>
  </si>
  <si>
    <t>Detective and mystery stories--History and criticism.</t>
  </si>
  <si>
    <t>Priestman, Martin</t>
  </si>
  <si>
    <t>Angela Carter</t>
  </si>
  <si>
    <t>PR6053.A73</t>
  </si>
  <si>
    <t>Women and literature--England--History--20th century.</t>
  </si>
  <si>
    <t>Sage, Lorna</t>
  </si>
  <si>
    <t>Anita Desai</t>
  </si>
  <si>
    <t>PR9499.3.D465 Z685 2005</t>
  </si>
  <si>
    <t>Ho, Elaine Yee Lin</t>
  </si>
  <si>
    <t>Aphra Behn</t>
  </si>
  <si>
    <t>DRAMA / European / English, Irish, Scottish, Welsh</t>
  </si>
  <si>
    <t>PR3317.Z5 W57 2007</t>
  </si>
  <si>
    <t>Women and literature--England--History--17th century.</t>
  </si>
  <si>
    <t>Wiseman, Susan</t>
  </si>
  <si>
    <t>Writers &amp; Their Work</t>
  </si>
  <si>
    <t>Bram Stoker</t>
  </si>
  <si>
    <t>PR6037.T617 Z76 2006</t>
  </si>
  <si>
    <t>Maunder, Andrew.</t>
  </si>
  <si>
    <t>James Baldwin</t>
  </si>
  <si>
    <t>LITERARY CRITICISM / American / African American</t>
  </si>
  <si>
    <t>PS3552.A45 Z65 2011eb</t>
  </si>
  <si>
    <t>Authors, American.</t>
  </si>
  <si>
    <t>Field, Douglas</t>
  </si>
  <si>
    <t>James Kelman</t>
  </si>
  <si>
    <t>PR6061.E518 Z74 2004</t>
  </si>
  <si>
    <t>Klaus, H. Gustav-British Council.</t>
  </si>
  <si>
    <t>Janet Frame</t>
  </si>
  <si>
    <t>LITERARY CRITICISM / Australian &amp; Oceanian</t>
  </si>
  <si>
    <t>PR9639.3.F7 Z53 2011eb</t>
  </si>
  <si>
    <t>Authors, New Zealand--20th century.</t>
  </si>
  <si>
    <t>Bazin, Claire.</t>
  </si>
  <si>
    <t>Graham Swift</t>
  </si>
  <si>
    <t>PR6069.W47 Z93 2006</t>
  </si>
  <si>
    <t>Widdowson, Peter.</t>
  </si>
  <si>
    <t>Matthew Arnold</t>
  </si>
  <si>
    <t>PR4024 .C36 2008</t>
  </si>
  <si>
    <t>Campbell, Kate-British Council.</t>
  </si>
  <si>
    <t>Norman MacCaig</t>
  </si>
  <si>
    <t>PR6025.A1628 Z75 2010eb</t>
  </si>
  <si>
    <t>Macrae, Alasdair D. F.</t>
  </si>
  <si>
    <t>Sidney and His Circle</t>
  </si>
  <si>
    <t>PR2343 .W66 2010eb</t>
  </si>
  <si>
    <t>Woodcock, Matthew</t>
  </si>
  <si>
    <t>Douglas Dunn</t>
  </si>
  <si>
    <t>PR6054.U54 Z54 2008eb</t>
  </si>
  <si>
    <t>Kennedy, David</t>
  </si>
  <si>
    <t>J.G. Farrell</t>
  </si>
  <si>
    <t>PR6056.A75</t>
  </si>
  <si>
    <t>Imperialism in literature.</t>
  </si>
  <si>
    <t>McLeod, John</t>
  </si>
  <si>
    <t>Orlando West, Soweto</t>
  </si>
  <si>
    <t>An Illustrated History</t>
  </si>
  <si>
    <t>HISTORY / Africa / General</t>
  </si>
  <si>
    <t>Noor Nieftagodien-Sally Gaule</t>
  </si>
  <si>
    <t>New South African Review 1</t>
  </si>
  <si>
    <t>2010: Development or Decline?</t>
  </si>
  <si>
    <t>POLITICAL SCIENCE / General</t>
  </si>
  <si>
    <t>Doreen Atkinson-David Bruce-Anthony Butler-Scarlett Cornelisson-John Daniel-Graham Gibbon-Jeremy Gordin-Colin Hoag-Samuel Kariuki-Zosa de Sas Kropiwnicki-Loren Landau-Lizle Loots-Kezia Lewins-Neva Makgetla-Hein Marais-Seeraj Mohamed-Mike Muller-Kammila Naidoo-Prishani Naidoo-Devan Pillay-Tara Polzer-Maxi Schoeman-Aurelia Wa Kabwe-Segatti-Terry-Ann Selikow-Louis Reynolds-Roger Southall-Mark Swilling-Peter Vale</t>
  </si>
  <si>
    <t>Mbeki and After</t>
  </si>
  <si>
    <t>Reflections on the Legacy of Thabo Mbeki</t>
  </si>
  <si>
    <t>Richard Calland-Jane Duncan-Steven Friedman-Mark Gevisser-Daryl Glaser-Mark Heywood-Peter Hudson-Chris Landsberg-Eusebius McKaiser-Chris Oxtoby-Peter Vale</t>
  </si>
  <si>
    <t>Prickly Pear</t>
  </si>
  <si>
    <t>A Social History of a Plant in the Eastern Cape</t>
  </si>
  <si>
    <t>HISTORY / Social History</t>
  </si>
  <si>
    <t>William Beinart</t>
  </si>
  <si>
    <t>Print, Text and Book Cultures in South Africa</t>
  </si>
  <si>
    <t>LANGUAGE ARTS &amp; DISCIPLINES / Publishing</t>
  </si>
  <si>
    <t>Rita Barnard-Leon de Kock-Archie L. Dick-Natasha Distiller-Patrick Denman Flanery-John Gouws-Lucy Valerie Graham-Isabel Hofmeyr-Lize Kriel-Bronwyn Law-Viljoen-Elizabeth le Roux-Peter D. McDonald-Sarah Nuttall-Jeff Opland-Lily Saint-Meg Samuelson-Deborah Seddon-Hedley Twidle-Andrew van der Vlies-Margriet van der Waal-Jarad Zimbler</t>
  </si>
  <si>
    <t>A Search for Origins</t>
  </si>
  <si>
    <t>Science, History and South Africa's 'Cradle of Humankind'</t>
  </si>
  <si>
    <t>Phillip Bonner-Amanda Esterhuysen-Trefor Jenkins-Marion Bamford-Jane Carruthers-Vincent Carruthers-Tim Clynick-Saul Dubow-Simon Hall-Thomas N. Huffman-Kevin Kuykendall-David Pearce-Himla Soodyall-Goran Strkalj-Phillip V. Tobias-Lyn Wadley</t>
  </si>
  <si>
    <t>Seeing and Knowing</t>
  </si>
  <si>
    <t>Rock Art with and Without Ethnography</t>
  </si>
  <si>
    <t>Geoffrey Blundell-Christopher Chippindale-Jean Clottes-Margaret W. Conkey-Edward B. Eastwood-Julie E. Francis-Knut Helskog-Imogene L. Lim-Lawrence L. Loendorf-Johannes Loubser-David Morris-Sven Ouzman-Neil Price-Tore Saetersdal-Benjamin Smith-Patricia Vinnicombe-Eva Walderhaug-Nick Walker-David S. Whitley</t>
  </si>
  <si>
    <t>Structure, Meaning and Ritual in the Narratives of the Southern San</t>
  </si>
  <si>
    <t>SOCIAL SCIENCE / Anthropology / General</t>
  </si>
  <si>
    <t>EPUB,PDF</t>
  </si>
  <si>
    <t>Roger Hewitt</t>
  </si>
  <si>
    <t>The Bram Fischer Waltz</t>
  </si>
  <si>
    <t>A Play</t>
  </si>
  <si>
    <t>DRAMA / African</t>
  </si>
  <si>
    <t>Harry Kalmer</t>
  </si>
  <si>
    <t>Bushman Letters</t>
  </si>
  <si>
    <t>Interpreting |Xam Narrative</t>
  </si>
  <si>
    <t>Michael Wessels</t>
  </si>
  <si>
    <t>Apartheid and the Making of a Black Psychologist</t>
  </si>
  <si>
    <t>A Memoir</t>
  </si>
  <si>
    <t>BIOGRAPHY &amp; AUTOBIOGRAPHY / Social Activists</t>
  </si>
  <si>
    <t>N. Chabani Manganyi</t>
  </si>
  <si>
    <t>New South African Review 3</t>
  </si>
  <si>
    <t>The Second Phase â€“ Tragedy or Farce?</t>
  </si>
  <si>
    <t>Stephanie Allais-William Attwell-Susan Booysen-Jacklyn Cock-John Daniel-David Fig-Dick Forslund-Paul Maylam-Julia Moorman-Shireen Motala-Prishani Naidoo-Vinothan Naidoo-Sanusha Naidu-Martin Nicol-Devan Pillay-Marisha Ramdeen-Laetitia Rispel-Roger Southall-Ahmed Veriava-Louise Vincent</t>
  </si>
  <si>
    <t>Conversations with Bourdieu</t>
  </si>
  <si>
    <t>The Johannesburg Moment</t>
  </si>
  <si>
    <t>PHILOSOPHY / General</t>
  </si>
  <si>
    <t>Michael Burawoy-Karl von Holdt</t>
  </si>
  <si>
    <t>English-isiZulu / IsiZulu-English Dictionary</t>
  </si>
  <si>
    <t>Fourth Edition</t>
  </si>
  <si>
    <t>REFERENCE / Dictionaries</t>
  </si>
  <si>
    <t>C.M. Doke-Benedict Wallet Vilakazi-D. M. Malcolm-Mzilikazi Khumalo</t>
  </si>
  <si>
    <t>African Archaeology Without Frontiers</t>
  </si>
  <si>
    <t>Papers From the 2014 PanAfrican Archaeological Association Congress</t>
  </si>
  <si>
    <t>Chapurukha M Kusimba-Santores Tchandeu-Dirk Seidensticker-Adrianne Daggett-Marilee Wood-Laure Dussubieux-Tim Forssman-Kate Smuts-Nick Wiltshire-Akin Ogundiran-Matthew Davies-Caleb Adebayo Folorunso-Timothy Kipkeu Kipruto-Freda Mâ€™Mbogori-Henrietta L Moore-Emubosa Orijemie-Alex Schoeman-Festo W Gabriel-Elinaza Mjema-Philip de Barros-Gabriella Lucidi-Narcisse-Karim Sadr-Amanda Esterhuysen-Christine Sievers</t>
  </si>
  <si>
    <t>Place of Thorns</t>
  </si>
  <si>
    <t>Black Political Protest in Kroonstad Since 1976</t>
  </si>
  <si>
    <t>Tshepo Moloi</t>
  </si>
  <si>
    <t>African-Language Literatures</t>
  </si>
  <si>
    <t>Perspectives on IsiZulu Fiction and Popular Black Television Series</t>
  </si>
  <si>
    <t>SOCIAL SCIENCE / Media Studies</t>
  </si>
  <si>
    <t>Innocentia Jabulisile Mhlambi</t>
  </si>
  <si>
    <t>Picturing Change</t>
  </si>
  <si>
    <t>Curating Visual Culture at Post-apartheid Universities</t>
  </si>
  <si>
    <t>EDUCATION / Higher</t>
  </si>
  <si>
    <t>Brenda Schmahmann</t>
  </si>
  <si>
    <t>Group Theory</t>
  </si>
  <si>
    <t>Proceedings of the Singapore Group Theory Conference Held at the National University of Singapore, June 8â€“19, 1987</t>
  </si>
  <si>
    <t>MATHEMATICS / General</t>
  </si>
  <si>
    <t>Kai N. Cheng-Yu K. Leong</t>
  </si>
  <si>
    <t>De Gruyter Proceedings in Mathematics</t>
  </si>
  <si>
    <t>Linguistics in South Asia</t>
  </si>
  <si>
    <t>De Gruyter Mouton</t>
  </si>
  <si>
    <t>LANGUAGE ARTS &amp; DISCIPLINES / Linguistics / General</t>
  </si>
  <si>
    <t>Murray B. Emeneau-Charles A. Fergusson</t>
  </si>
  <si>
    <t>The Great Recession and Its Aftermath: Evidence From Micro-Data</t>
  </si>
  <si>
    <t>Themenheft 6/Bd. 234(2014) JahrbÃ¼cher FÃ¼r NationalÃ¶konomie Und Statistik</t>
  </si>
  <si>
    <t>De Gruyter Oldenbourg</t>
  </si>
  <si>
    <t>BUSINESS &amp; ECONOMICS / General</t>
  </si>
  <si>
    <t>Holger GÃ¶rg-Joachim Wagner</t>
  </si>
  <si>
    <t>Linguistic Structures in Poetry</t>
  </si>
  <si>
    <t>Janua Linguarum. Series Minor</t>
  </si>
  <si>
    <t>Briefe</t>
  </si>
  <si>
    <t>RELIGION / Christianity / Literature &amp; the Arts</t>
  </si>
  <si>
    <t>grc</t>
  </si>
  <si>
    <t>Gregor von Nazianz-Paul Gallay</t>
  </si>
  <si>
    <t>Die griechischen christlichen Schriftsteller der ersten Jahrhunderte</t>
  </si>
  <si>
    <t>A Bibliography of British Military History</t>
  </si>
  <si>
    <t>From the Roman Invasions to the Restoration, 1660</t>
  </si>
  <si>
    <t>De Gruyter Saur</t>
  </si>
  <si>
    <t>Anthony Bruce</t>
  </si>
  <si>
    <t>Number Theory</t>
  </si>
  <si>
    <t>Proceedings of the First Conference of the Canadian Number Theory Association Held at the Banff Center, Banff, Alberta, April 17â€“27, 1988</t>
  </si>
  <si>
    <t>Richard Mollin</t>
  </si>
  <si>
    <t>Complex Analysis and Algebraic Geometry</t>
  </si>
  <si>
    <t>A Volume in Memory of Michael Schneider</t>
  </si>
  <si>
    <t>Thomas Peternell-Frank-Olaf Schreyer</t>
  </si>
  <si>
    <t>Trust and Community on the Internet</t>
  </si>
  <si>
    <t>Opportunities and Restrictions for Online Cooperation</t>
  </si>
  <si>
    <t>COMPUTERS / General</t>
  </si>
  <si>
    <t>Bernd Lahno-Uwe Matzat</t>
  </si>
  <si>
    <t>The Artist Book in a Global World</t>
  </si>
  <si>
    <t>A Workshop in Poestenkill, New York, August 2002</t>
  </si>
  <si>
    <t>Wulf D. von Lucius-Gunnar A. Kaldewey</t>
  </si>
  <si>
    <t>Law As an Instrument of Economic Policy â€“ Comparative and Critical Approaches</t>
  </si>
  <si>
    <t>LAW / International</t>
  </si>
  <si>
    <t>Terence Daintith</t>
  </si>
  <si>
    <t>European University Institute - Series A</t>
  </si>
  <si>
    <t>The Effectiveness of Different Learner Dictionaries</t>
  </si>
  <si>
    <t>An Investigation Into the Use of Dictionaries for Reading Comprehension by Intermediate Learners of German</t>
  </si>
  <si>
    <t>Ursula Wingate</t>
  </si>
  <si>
    <t>Lexicographica. Series Maior</t>
  </si>
  <si>
    <t>Woods Injurious to Human Health</t>
  </si>
  <si>
    <t>A Manual</t>
  </si>
  <si>
    <t>REFERENCE / General</t>
  </si>
  <si>
    <t>BjÃ¶rn M. Hausen</t>
  </si>
  <si>
    <t>A Crisis in Swiss Pluralism</t>
  </si>
  <si>
    <t>The Romansh and Their Relations with the German- and Italian-Swiss in the Perspective of a Millenium</t>
  </si>
  <si>
    <t>Robert Henry Billigmeier</t>
  </si>
  <si>
    <t>Contributions to the Sociology of Language [CSL]</t>
  </si>
  <si>
    <t>A New Dictionary of Sign Language</t>
  </si>
  <si>
    <t>Employing the Eschkol-Wachmann Movement Notation System</t>
  </si>
  <si>
    <t>Enya Cohen-Lila Namir-I. M. Schlesinger</t>
  </si>
  <si>
    <t>Approaches to Semiotics [AS]</t>
  </si>
  <si>
    <t>The Phonological Representation of Suprasegmentals</t>
  </si>
  <si>
    <t>Studies on African Languages Offered to John M. Stewart on His 60th Birthday</t>
  </si>
  <si>
    <t>Koen Bogers-Harry van der Hulst-Marten Mous</t>
  </si>
  <si>
    <t>Publications in African Languages and Linguistics</t>
  </si>
  <si>
    <t>Assyrian Colonies in Cappadocia</t>
  </si>
  <si>
    <t>LANGUAGE ARTS &amp; DISCIPLINES / Linguistics / Historical &amp; Comparative</t>
  </si>
  <si>
    <t>Louis L. Orlin</t>
  </si>
  <si>
    <t>Studies in Ancient History</t>
  </si>
  <si>
    <t>Incentives and Economic Behaviour</t>
  </si>
  <si>
    <t>Rolf Hasse-Uwe Vollmer</t>
  </si>
  <si>
    <t>Schriften Zu Ordnungsfragen Der Wirtschaft</t>
  </si>
  <si>
    <t>Making Artist Books Today</t>
  </si>
  <si>
    <t>Workshop at Poestenkill/NY August 18th-23th '97</t>
  </si>
  <si>
    <t>ART / General</t>
  </si>
  <si>
    <t>Wulf D von Lucius-Gunnar Kaldewey</t>
  </si>
  <si>
    <t>The Origins of Greek Religion</t>
  </si>
  <si>
    <t>HISTORY / Ancient / General</t>
  </si>
  <si>
    <t>Bernard C. Dietrich</t>
  </si>
  <si>
    <t>Die Oracula Sibyllina</t>
  </si>
  <si>
    <t>Johannes Geffcken</t>
  </si>
  <si>
    <t>A Catalog of British Devotional and Religious Books in German Translation From the Reformation to 1750</t>
  </si>
  <si>
    <t>Acquisition of Reading in Dutch</t>
  </si>
  <si>
    <t>Pieter Reitsma-Ludo Verhoeven</t>
  </si>
  <si>
    <t>Studies on Language Acquisition [SOLA]</t>
  </si>
  <si>
    <t>Category Formation and the History of Religions</t>
  </si>
  <si>
    <t>RELIGION / Religion &amp; Science</t>
  </si>
  <si>
    <t>Robert D. Baird</t>
  </si>
  <si>
    <t>Religion and Reason</t>
  </si>
  <si>
    <t>Teachersâ€™ Professional Development on Problem Solving: Theory and Practice for Teachers and Teacher Educators</t>
  </si>
  <si>
    <t>Sense Publishers</t>
  </si>
  <si>
    <t>Judit OrgovÃ¡nyi-Gajdos</t>
  </si>
  <si>
    <t>Fort Laramie and the Pageant of the West, 1834-1890</t>
  </si>
  <si>
    <t>University of Nebraska Press</t>
  </si>
  <si>
    <t>F761 .H24</t>
  </si>
  <si>
    <t>Indians of North America--Wars--1815-1875.</t>
  </si>
  <si>
    <t>Hafen, LeRoy R.-Young, Francis Marion.</t>
  </si>
  <si>
    <t>The Great West Ukrainian Prison Massacre of 1941</t>
  </si>
  <si>
    <t>A Sourcebook</t>
  </si>
  <si>
    <t>Amsterdam University Press</t>
  </si>
  <si>
    <t>DK508</t>
  </si>
  <si>
    <t>Alexander Motyl-Ksenya Kiebuzinski</t>
  </si>
  <si>
    <t>Salvage Excavations at Tel Moza: The Bronze and Iron Age Settlements and Later Occupations.</t>
  </si>
  <si>
    <t>Israel Antiquities Authority</t>
  </si>
  <si>
    <t>Zvi Greenhut-Alon De Groot</t>
  </si>
  <si>
    <t>Paneas II. Small Finds and Other Studies</t>
  </si>
  <si>
    <t>Vassillios Tzaferis-Shoshana Israeli</t>
  </si>
  <si>
    <t>Paneas I. The Roman to Early Islamic Periods: Excavations in Area A, B, E, F, and H.</t>
  </si>
  <si>
    <t>Spherical Means for PDEs</t>
  </si>
  <si>
    <t>Karl K. Sabelfeld-Irina S. Shalimova</t>
  </si>
  <si>
    <t>Reading Galatians, Philippians, and 1 Thessalonians</t>
  </si>
  <si>
    <t>A Literary and Theological Commentary</t>
  </si>
  <si>
    <t>Smyth &amp; Helwys Publishing, Inc.</t>
  </si>
  <si>
    <t>Smyth &amp; Helwys Publishing</t>
  </si>
  <si>
    <t>RELIGION / Biblical Studies / New Testament</t>
  </si>
  <si>
    <t>BS2685.3 .C65 2001eb</t>
  </si>
  <si>
    <t>Cousar, Charles B.</t>
  </si>
  <si>
    <t>Reading the New Testament</t>
  </si>
  <si>
    <t>Malkin</t>
  </si>
  <si>
    <t>Book Network Int'l Limited trading as NBN International (NBNi)</t>
  </si>
  <si>
    <t>The Emma Press</t>
  </si>
  <si>
    <t>POETRY / Subjects &amp; Themes / General</t>
  </si>
  <si>
    <t>PR6118.A368 M36 2015eb</t>
  </si>
  <si>
    <t>Witches--England--Lancashire--Poetry.</t>
  </si>
  <si>
    <t>Ralphs, Camille-Wright, Emma</t>
  </si>
  <si>
    <t>AWOL</t>
  </si>
  <si>
    <t>POETRY / Anthologies (multiple authors)</t>
  </si>
  <si>
    <t>PR6056.U43 A69 2015eb</t>
  </si>
  <si>
    <t>Travel--Poetry.</t>
  </si>
  <si>
    <t>Fuller, John-Owen, Andrew Wynn-Wright, Emma</t>
  </si>
  <si>
    <t>The Emma Press Anthology of Dance</t>
  </si>
  <si>
    <t>Poems About Dancing</t>
  </si>
  <si>
    <t>PR1195.D3 E46 2015eb</t>
  </si>
  <si>
    <t>Dance--Poetry.,English poetry.</t>
  </si>
  <si>
    <t>Piercey, Rachel-Wright, Emma</t>
  </si>
  <si>
    <t>Introduction to Nuclear Physics, An</t>
  </si>
  <si>
    <t>Alpha Science International, Ltd.</t>
  </si>
  <si>
    <t>Alpha Science Internation Limited</t>
  </si>
  <si>
    <t>und</t>
  </si>
  <si>
    <t>Yatramohan Jana</t>
  </si>
  <si>
    <t>Latex for Beginners</t>
  </si>
  <si>
    <t>K.B.M. Nambudiripad</t>
  </si>
  <si>
    <t>Laser Systems and Applications</t>
  </si>
  <si>
    <t>V. K. Jain</t>
  </si>
  <si>
    <t>Laplace Transformations</t>
  </si>
  <si>
    <t>G. C. Gorain</t>
  </si>
  <si>
    <t>Landscape Architectural Design and Construction Technology</t>
  </si>
  <si>
    <t>Ariya Aruninta</t>
  </si>
  <si>
    <t>Introductory Course on Differential Equations</t>
  </si>
  <si>
    <t>Introduction to Wavelet Transform: A Signal Processing Approach</t>
  </si>
  <si>
    <t>S. V. Narasimhan-Nandini Basumallick-S. Veena</t>
  </si>
  <si>
    <t>Introduction to Sensors and Instrumentations, An</t>
  </si>
  <si>
    <t>TECHNOLOGY &amp; ENGINEERING / Mechanical</t>
  </si>
  <si>
    <t>K5102.9 .S564 2017eb</t>
  </si>
  <si>
    <t>Signal processing.</t>
  </si>
  <si>
    <t>Singh, Shobh Nath.</t>
  </si>
  <si>
    <t>Reading Hebrews and James</t>
  </si>
  <si>
    <t>RELIGION / Biblical Studies / Paul's Letters</t>
  </si>
  <si>
    <t>BS2775.53 .I82 2002eb</t>
  </si>
  <si>
    <t>Isaacs, Marie E.</t>
  </si>
  <si>
    <t>Reading the New Testament Series</t>
  </si>
  <si>
    <t>Reading Mark</t>
  </si>
  <si>
    <t>A Literary and Theological Commentary on the Second Gospel</t>
  </si>
  <si>
    <t>BS2585.3 .D68 2000eb</t>
  </si>
  <si>
    <t>Dowd, Sharyn Echols.</t>
  </si>
  <si>
    <t>Reading Luke</t>
  </si>
  <si>
    <t>RELIGION / Biblical Studies / Jesus, the Gospels &amp; Acts</t>
  </si>
  <si>
    <t>BS2595.53 .T35 2002</t>
  </si>
  <si>
    <t>Talbert, Charles H.</t>
  </si>
  <si>
    <t>Reading Colossians, Ephesians, and 2 Thessalonians</t>
  </si>
  <si>
    <t>BS2715.53 .T48 2007eb</t>
  </si>
  <si>
    <t>Thurston, Bonnie Bowman.</t>
  </si>
  <si>
    <t>Reading 1 Peter, Jude, and 2 Peter</t>
  </si>
  <si>
    <t>BS2795.3 .R53 2000eb</t>
  </si>
  <si>
    <t>Richard, Earl.</t>
  </si>
  <si>
    <t>Reading Samuel</t>
  </si>
  <si>
    <t>RELIGION / Biblical Studies / Old Testament</t>
  </si>
  <si>
    <t>BS1325.53 .V36 2011eb</t>
  </si>
  <si>
    <t>Van Wijk-Bos, Johanna W. H.</t>
  </si>
  <si>
    <t>Reading the Old Testament</t>
  </si>
  <si>
    <t>Reading Nahum-Malachi</t>
  </si>
  <si>
    <t>RELIGION / Biblical Studies / Prophets</t>
  </si>
  <si>
    <t>BS1560 .T84 2016eb</t>
  </si>
  <si>
    <t>Tuell, Steven Shawn.</t>
  </si>
  <si>
    <t>Reading Judges</t>
  </si>
  <si>
    <t>BS1305.53 .B53 2012eb</t>
  </si>
  <si>
    <t>Biddle, Mark E.</t>
  </si>
  <si>
    <t>Reading the Old Testament Series</t>
  </si>
  <si>
    <t>Reading Job</t>
  </si>
  <si>
    <t>RELIGION / Biblical Studies / Wisdom Literature</t>
  </si>
  <si>
    <t>BS1415.53 .C74 2011eb</t>
  </si>
  <si>
    <t>Crenshaw, James L.</t>
  </si>
  <si>
    <t>Reading Jeremiah</t>
  </si>
  <si>
    <t>BS1525.53 .C37 2016</t>
  </si>
  <si>
    <t>Carvalho, Connie</t>
  </si>
  <si>
    <t>Reading Isaiah</t>
  </si>
  <si>
    <t>BS1515.53 .K56 2016</t>
  </si>
  <si>
    <t>Kim, Hyun Chul Paul</t>
  </si>
  <si>
    <t>Reading Ezekiel</t>
  </si>
  <si>
    <t>BS1545.53 .S94 2013eb</t>
  </si>
  <si>
    <t>Sweeney, Marvin A.</t>
  </si>
  <si>
    <t>Reading Hosea-Micah</t>
  </si>
  <si>
    <t>BS1560 .F74 2013eb</t>
  </si>
  <si>
    <t>Fretheim, Terence E.</t>
  </si>
  <si>
    <t>The Warriors</t>
  </si>
  <si>
    <t>Reflections on Men in Battle</t>
  </si>
  <si>
    <t>Bison Books</t>
  </si>
  <si>
    <t>HISTORY / Military / General</t>
  </si>
  <si>
    <t>U21 .G75 1998</t>
  </si>
  <si>
    <t>War.,World War, 1939-1945--Personal narratives, American.</t>
  </si>
  <si>
    <t>Gray, J. Glenn-Arendt, Hannah</t>
  </si>
  <si>
    <t>A Regiment of Slaves</t>
  </si>
  <si>
    <t>The 4th United States Colored Infantry, 1863-1866</t>
  </si>
  <si>
    <t>HISTORY / United States / Civil War Period (1850-1877)</t>
  </si>
  <si>
    <t>E492.94 4th .L66 2011</t>
  </si>
  <si>
    <t>African American soldiers--History--19th century.</t>
  </si>
  <si>
    <t>Longacre, Edward G.</t>
  </si>
  <si>
    <t>Fitz Lee</t>
  </si>
  <si>
    <t>A Military Biography of Major General Fitzhugh Lee, C.S.A.</t>
  </si>
  <si>
    <t>BIOGRAPHY &amp; AUTOBIOGRAPHY / Military</t>
  </si>
  <si>
    <t>E467.1.L39</t>
  </si>
  <si>
    <t>Generals--Confederate States of America--Biography.</t>
  </si>
  <si>
    <t>Gentleman and Soldier</t>
  </si>
  <si>
    <t>A Biography of Wade Hampton III</t>
  </si>
  <si>
    <t>BIOGRAPHY &amp; AUTOBIOGRAPHY / Historical</t>
  </si>
  <si>
    <t>E467.1.H19 L66 2009eb</t>
  </si>
  <si>
    <t>Generals--Confederate States of America--Biography.,Reconstruction (U.S. history, 1865-1877)--South Carolina.</t>
  </si>
  <si>
    <t>A Dante Symposium in Commemoration of the 700th Anniversary of the Poet's Birth (1265-1965)</t>
  </si>
  <si>
    <t>University of North Carolina Press</t>
  </si>
  <si>
    <t>University of North Carolina at Chapel Hill Department of Romance Studies</t>
  </si>
  <si>
    <t>LITERARY CRITICISM / European / Italian</t>
  </si>
  <si>
    <t>PC13 .N8eb</t>
  </si>
  <si>
    <t>De Sua, William J.-Dante Society of America.-Rizzo, Gino.</t>
  </si>
  <si>
    <t>Studies in the Romance Languages and Literatures - University of North Carolina</t>
  </si>
  <si>
    <t>Gaston d'OrlÃ©ans et sa cour</t>
  </si>
  <si>
    <t>Ã©tude litteraire</t>
  </si>
  <si>
    <t>LITERARY CRITICISM / European / French</t>
  </si>
  <si>
    <t>PC13 .N67 no.41eb</t>
  </si>
  <si>
    <t>French literature--17th century--History and criticism.</t>
  </si>
  <si>
    <t>fre</t>
  </si>
  <si>
    <t>Abraham, Claude Kurt</t>
  </si>
  <si>
    <t>University of North Carolina Studies in the Romance languages and literatures</t>
  </si>
  <si>
    <t>The Development of the TragÃ©die Nationale in France From 1552-1800</t>
  </si>
  <si>
    <t>PC13 .N67 no. 45</t>
  </si>
  <si>
    <t>French drama (Tragedy)--History and criticism.,Historical drama, French--History and criticism.,Theater--France--History.</t>
  </si>
  <si>
    <t>Daniel, George Bernard.</t>
  </si>
  <si>
    <t>University of North Carolina. Studies in the Romance Languages and Literatures</t>
  </si>
  <si>
    <t>The Italian Verb</t>
  </si>
  <si>
    <t>A Morphological Study</t>
  </si>
  <si>
    <t>PC1271 .J4 1971eb</t>
  </si>
  <si>
    <t>Italian language--Verb.,Latin language--Verb.</t>
  </si>
  <si>
    <t>Jensen, Frede</t>
  </si>
  <si>
    <t>ChrÃ©tien's Jewish Grail</t>
  </si>
  <si>
    <t>A New Investigation of the Imagery and Significance of ChrÃ©tien De Troyes's Grail Episode Based on Medieval Hebraic Sources</t>
  </si>
  <si>
    <t>PQ1445.P7</t>
  </si>
  <si>
    <t>Arthurian romances--History and criticism.,French language--Figures of speech.,Grail--Legends--History and criticism.,Judaism in literature.,Knights and knighthood in literature.,Quests (Expeditions) in literature.</t>
  </si>
  <si>
    <t>Weinraub, Eugene J.</t>
  </si>
  <si>
    <t>North Carolina Studies in the Romance Languages and Literatures: Essays</t>
  </si>
  <si>
    <t>L'Imagination poÃ©tique chez Du Bartas</t>
  </si>
  <si>
    <t>Ã‰lements de sensibilitÃ© baroque dans la CrÃ©ation du monde</t>
  </si>
  <si>
    <t>PQ1617 .B738</t>
  </si>
  <si>
    <t>Creation--Poetry.</t>
  </si>
  <si>
    <t>Braunrot, Bruno</t>
  </si>
  <si>
    <t>North Carolina studies in the Romance languages and literatures</t>
  </si>
  <si>
    <t>Studies on the Cancionero De Baena</t>
  </si>
  <si>
    <t>LITERARY CRITICISM / European / Spanish &amp; Portuguese</t>
  </si>
  <si>
    <t>PC13 .N67 no. 61</t>
  </si>
  <si>
    <t>Fraker, Charles F.</t>
  </si>
  <si>
    <t>University of North Carolina. Studies in the Romance Languages and Literatures, No. 61</t>
  </si>
  <si>
    <t>Formulaic Diction and Thematic Composition in the Chanson De Roland</t>
  </si>
  <si>
    <t>PQ1523 .N5</t>
  </si>
  <si>
    <t>Nichols, Stephen G.</t>
  </si>
  <si>
    <t>University of North Carolina (Chapel Hill Campus) Studies in the Romance Languages and Literatures</t>
  </si>
  <si>
    <t>De la natural hystoria de las Indias</t>
  </si>
  <si>
    <t>PC13 .N67 no. 85</t>
  </si>
  <si>
    <t>Indians of Central America.,Indians of the West Indies.,Natural history--Central America.,Natural history--West Indies.</t>
  </si>
  <si>
    <t>spa</t>
  </si>
  <si>
    <t>FernaÌndez de Oviedo y ValdeÌs, Gonzalo</t>
  </si>
  <si>
    <t>University of North Carolina. Studies in the Romance languages and literatures</t>
  </si>
  <si>
    <t>Social Drama in Nineteenth-Century Spain</t>
  </si>
  <si>
    <t>PC13 .N67</t>
  </si>
  <si>
    <t>Social problems in literature.,Spanish drama--19th century--History and criticism.</t>
  </si>
  <si>
    <t>Peak, J. Hunter.</t>
  </si>
  <si>
    <t>University of North Carolina. Studies in the Romance Languages and Literature</t>
  </si>
  <si>
    <t>Liturgy and Allegory in ChrÃ©tien's Perceval</t>
  </si>
  <si>
    <t>PC13 .N67 no.14ebPQ1445.P7K54</t>
  </si>
  <si>
    <t>Klenke, M. Amelia</t>
  </si>
  <si>
    <t>North Carolina. University. Studies in the Romance Languages and Literatures</t>
  </si>
  <si>
    <t>Itinerario di amore</t>
  </si>
  <si>
    <t>dialettica di amore e morte nella Vita Nuova</t>
  </si>
  <si>
    <t>PC13 .N67 no.134</t>
  </si>
  <si>
    <t>Death in literature.,Love in literature.</t>
  </si>
  <si>
    <t>ita</t>
  </si>
  <si>
    <t>De Bonfils Templer, Margherita.</t>
  </si>
  <si>
    <t>Victor Hugo</t>
  </si>
  <si>
    <t>A Select and Critical Bibliography</t>
  </si>
  <si>
    <t>PC13 .N67 no. 67eb</t>
  </si>
  <si>
    <t>Grant, Elliott Mansfield</t>
  </si>
  <si>
    <t>University of North Carolina Studies in the Romance Languages and Literatures</t>
  </si>
  <si>
    <t>Traditionalism in the Works of Francisco De Quevedo Y Villegas</t>
  </si>
  <si>
    <t>PQ6424.Z5 B3</t>
  </si>
  <si>
    <t>Baum, Doris L.</t>
  </si>
  <si>
    <t>Style and Structure in GraciÃ¡n's El CriticÃ³n</t>
  </si>
  <si>
    <t>Spanish language--Classical period, 1500-1700--Style.</t>
  </si>
  <si>
    <t>Welles, Marcia L.</t>
  </si>
  <si>
    <t>The Peregrine Muse</t>
  </si>
  <si>
    <t>Studies in Comparative Renaissance Literature</t>
  </si>
  <si>
    <t>LITERARY CRITICISM / European / General</t>
  </si>
  <si>
    <t>PN721.C5</t>
  </si>
  <si>
    <t>Literature, Modern--15th and 16th centuries--History and criticism.</t>
  </si>
  <si>
    <t>Clements, Robert J.</t>
  </si>
  <si>
    <t>A New Interpretation of ChrÃ©tien's Conte Del Graal</t>
  </si>
  <si>
    <t>PQ1448</t>
  </si>
  <si>
    <t>Holmes, Urban T.</t>
  </si>
  <si>
    <t>Studies in the Romance Languages and Literatures</t>
  </si>
  <si>
    <t>Romance Trends in 7th and 8th Century Latin Documents</t>
  </si>
  <si>
    <t>PC13</t>
  </si>
  <si>
    <t>Latin language, Medieval and modern--Phonology.,Romance languages--Phonology.</t>
  </si>
  <si>
    <t>Politzer, Frieda N.-Politzer, Robert Louis</t>
  </si>
  <si>
    <t>The Novels of Mme Riccoboni</t>
  </si>
  <si>
    <t>PQ2027.R3 Z86 1976eb</t>
  </si>
  <si>
    <t>Women and literature--France--History--18th century.</t>
  </si>
  <si>
    <t>Stewart, Joan Hinde</t>
  </si>
  <si>
    <t>Vida u obra de Petrarca</t>
  </si>
  <si>
    <t>Volumen I: Lectura del Sectretum</t>
  </si>
  <si>
    <t>PQ4505 .R5 1974eb</t>
  </si>
  <si>
    <t>Rico, Francisco</t>
  </si>
  <si>
    <t>Historia y bibliografÃ­a de la crÃ­tica sobre el Poema de mÃ­o Cid (1750-1971)</t>
  </si>
  <si>
    <t>PC13 .N67 no.145</t>
  </si>
  <si>
    <t>Magnotta, Miguel.</t>
  </si>
  <si>
    <t>Publications of the Department of Romance Languages, University of North Carolina</t>
  </si>
  <si>
    <t>Spanish Life in the Late Middle Ages</t>
  </si>
  <si>
    <t>Selected and Translated</t>
  </si>
  <si>
    <t>PC13 .N67 1965</t>
  </si>
  <si>
    <t>Romance-language literature.</t>
  </si>
  <si>
    <t>Scholberg, Kenneth R.</t>
  </si>
  <si>
    <t>Romance Studies Presented to William Morton Dey on the Occasion of His Seventieth Birthday by His Colleagues and Former Students</t>
  </si>
  <si>
    <t>LITERARY CRITICISM / Renaissance</t>
  </si>
  <si>
    <t>PC14.D49</t>
  </si>
  <si>
    <t>Romance philology.</t>
  </si>
  <si>
    <t>Holmes, Urban T.-Engstrom, Alfred G.-Leavitt, Sturgis E.-Dey, William Morton</t>
  </si>
  <si>
    <t>Samuel Pepys in Paris and Other Essays</t>
  </si>
  <si>
    <t>PC13 .N67 no. 24PR3618.P2H65</t>
  </si>
  <si>
    <t>Gardens--History.,Teachers--France.</t>
  </si>
  <si>
    <t>North Carolina. University. Studies in the Romance Languages and Literature</t>
  </si>
  <si>
    <t>La coronica troyana</t>
  </si>
  <si>
    <t>A Medieval Spanish Translation of Guido de Colonna's Historia destructionis Troiae</t>
  </si>
  <si>
    <t>PC13 .N67  no. 90PA8310.C6</t>
  </si>
  <si>
    <t>Romances, Latin (Medieval and modern)--Translations into Spanish.,Trojan War--Early works to 1800.</t>
  </si>
  <si>
    <t>Colonne, Guido delle-Norris, Frank Pelletier</t>
  </si>
  <si>
    <t>Studies in the Romance languages and literatures</t>
  </si>
  <si>
    <t>A Critical and Annotated Edition of Lope de Vega's Las almenas de Toro</t>
  </si>
  <si>
    <t>PQ6439</t>
  </si>
  <si>
    <t>Vega, Lope de-Case, Thomas E.</t>
  </si>
  <si>
    <t>Studies in Romance Lexicology, Based on a Collection of Late Latin Documents From Ravenna (A.D. 445-700)</t>
  </si>
  <si>
    <t>PC13 .N67 no.54</t>
  </si>
  <si>
    <t>Romance languages--Terms and phrases.</t>
  </si>
  <si>
    <t>Carlton, Charles Merritt.</t>
  </si>
  <si>
    <t>Estudios de literatura hispanoamericana en honor a JosÃ© J. Arrom</t>
  </si>
  <si>
    <t>LITERARY CRITICISM / American / Hispanic American</t>
  </si>
  <si>
    <t>Spanish American literature--History and criticism.</t>
  </si>
  <si>
    <t>Arrom, JoseÌ Juan-Debicki, Andrew Peter.-Pupo-Walker, Enrique.</t>
  </si>
  <si>
    <t>PN721 .C5</t>
  </si>
  <si>
    <t>The Poetry of Inspiration</t>
  </si>
  <si>
    <t>Agrippa D'AubignÃ©'s Les Tragiques</t>
  </si>
  <si>
    <t>PQ1603 .A73 R4</t>
  </si>
  <si>
    <t>Regosin, Richard L.</t>
  </si>
  <si>
    <t>Golden Age Drama in Spain</t>
  </si>
  <si>
    <t>General Consideration and Unusual Features</t>
  </si>
  <si>
    <t>PQ6105 .L4eb</t>
  </si>
  <si>
    <t>Spanish drama--Classical period, 1500-1700--History and criticism.</t>
  </si>
  <si>
    <t>Leavitt, Sturgis E.</t>
  </si>
  <si>
    <t>Poetry and Antipoetry</t>
  </si>
  <si>
    <t>A Study of Selected Aspects of Max Jacob's Poetic Style</t>
  </si>
  <si>
    <t>French language--20th century--Style.</t>
  </si>
  <si>
    <t>Thau, Annette.</t>
  </si>
  <si>
    <t>A Critical Edition of Lope De Vega's Las Paces De Los Reyes Y JudÃ­a De Toledo</t>
  </si>
  <si>
    <t>Vega, Lope de-CastanÌƒeda, James A.</t>
  </si>
  <si>
    <t>L'amour lointain de JaufrÃ© Rudel et le sens de la poÃ©sie des troubadours</t>
  </si>
  <si>
    <t>Occitan poetry.,Poetry, Medieval.,Troubadours.</t>
  </si>
  <si>
    <t>Spitzer, Leo</t>
  </si>
  <si>
    <t>University of North Carolina studies in the Romance languages and literatures</t>
  </si>
  <si>
    <t>The Poetics and the Poetry of RenÃ© Char</t>
  </si>
  <si>
    <t>PQ2605.H3345 Z74</t>
  </si>
  <si>
    <t>Poetics--History--20th century.</t>
  </si>
  <si>
    <t>La ChariteÌ, Virginia A.</t>
  </si>
  <si>
    <t>University of North Carolina. Studies in the Romance Languages and Literatures, No. 75</t>
  </si>
  <si>
    <t>MoliÃ¨re's Tartuffe and the Traditions of Roman Satire</t>
  </si>
  <si>
    <t>PQ1842 .K3eb</t>
  </si>
  <si>
    <t>Comedy.,Satire, French--Roman influences.,Satire, Latin--Appreciation--France.</t>
  </si>
  <si>
    <t>Kasparek, Jerry Lewis.</t>
  </si>
  <si>
    <t>North Carolina Studies in the Romance Languages and Literatures</t>
  </si>
  <si>
    <t>The Dramatic Works of Ãlvaro Cubillo De AragÃ³n</t>
  </si>
  <si>
    <t>PQ6388.C8 Z96</t>
  </si>
  <si>
    <t>Whitaker, Shirley B.</t>
  </si>
  <si>
    <t>Rousseau and His Reader</t>
  </si>
  <si>
    <t>The Rhetorical Situation of the Major Works</t>
  </si>
  <si>
    <t>PC13 .N67 no. 83eb</t>
  </si>
  <si>
    <t>Authors and readers--France--History--18th century.,French language--18th century--Rhetoric.,Reader-response criticism.</t>
  </si>
  <si>
    <t>Ellrich, Robert J.</t>
  </si>
  <si>
    <t>University of North Carolina. Studies in the Romance Languages and Literatures, No. 83</t>
  </si>
  <si>
    <t>Adoption in India</t>
  </si>
  <si>
    <t>Policies and Experiences</t>
  </si>
  <si>
    <t>Sage Publications India Pvt, Ltd -- eBooks</t>
  </si>
  <si>
    <t>Sage Publications Pvt. Ltd</t>
  </si>
  <si>
    <t>FAMILY &amp; RELATIONSHIPS / General</t>
  </si>
  <si>
    <t>Vinita Bhargava</t>
  </si>
  <si>
    <t>Tribal Development in India</t>
  </si>
  <si>
    <t>The Contemporary Debate</t>
  </si>
  <si>
    <t>SOCIAL SCIENCE / Sociology / General</t>
  </si>
  <si>
    <t>Govind Chandra Rath</t>
  </si>
  <si>
    <t>Sexuality, Gender and Rights</t>
  </si>
  <si>
    <t>Exploring Theory and Practice in South and Southeast Asia</t>
  </si>
  <si>
    <t>SOCIAL SCIENCE / Gender Studies</t>
  </si>
  <si>
    <t>Geetanjali Misra-Radhika Chandiramani</t>
  </si>
  <si>
    <t>Women in the Indian National Movement</t>
  </si>
  <si>
    <t>Unseen Faces and Unheard Voices, 1930-42</t>
  </si>
  <si>
    <t>SOCIAL SCIENCE / Women's Studies</t>
  </si>
  <si>
    <t>Suruchi Thapar-Bjorkert</t>
  </si>
  <si>
    <t>Russian Formalist Criticism</t>
  </si>
  <si>
    <t>Four Essays, Second Edition</t>
  </si>
  <si>
    <t>LITERARY CRITICISM / Russian &amp; Former Soviet Union</t>
  </si>
  <si>
    <t>PN98.F6 R87 2012</t>
  </si>
  <si>
    <t>Formalism (Literary analysis),Literature, Modern.</t>
  </si>
  <si>
    <t>Lemon, Lee T.-Reis, Marion J.-Morson, Gary Saul-ShklovskiiÌ†, Viktor-TomashevskiiÌ†, B. V.-EÌ‡iÌ†khenbaum, B.</t>
  </si>
  <si>
    <t>Regents Critics</t>
  </si>
  <si>
    <t>Vanished Arizona</t>
  </si>
  <si>
    <t>Recollections of the Army Life of a New England Woman, Second Edition</t>
  </si>
  <si>
    <t>HISTORY / United States / State &amp; Local / Southwest (AZ, NM, OK, TX)</t>
  </si>
  <si>
    <t>F594 .S384 2015</t>
  </si>
  <si>
    <t>Army spouses--Arizona--Biography.</t>
  </si>
  <si>
    <t>Summerhayes, Martha.</t>
  </si>
  <si>
    <t>The Fall of the Shell</t>
  </si>
  <si>
    <t>The Pelbar Cycle, Book Four</t>
  </si>
  <si>
    <t>FICTION / Fantasy / General</t>
  </si>
  <si>
    <t>PS3573.I45532</t>
  </si>
  <si>
    <t>Nuclear warfare--Fiction.,Regression (Civilization)--Fiction.</t>
  </si>
  <si>
    <t>Williams, Paul O.</t>
  </si>
  <si>
    <t>The Pelbar Cycle</t>
  </si>
  <si>
    <t>The Ends of the Circle</t>
  </si>
  <si>
    <t>The Pelbar Cycle, Book Two</t>
  </si>
  <si>
    <t>Married people--Fiction.,Nuclear warfare--Fiction.,Quests (Expeditions)--Fiction.,Regression (Civilization)--Fiction.,Travelers--Fiction.,Visionaries--Fiction.</t>
  </si>
  <si>
    <t>The Breaking of Northwall</t>
  </si>
  <si>
    <t>The Pelbar Cycle, Book One</t>
  </si>
  <si>
    <t>FICTION / Science Fiction / General</t>
  </si>
  <si>
    <t>PS3573.I45532 B74 2005</t>
  </si>
  <si>
    <t>Exiles--Fiction.,Nuclear warfare--Fiction.,Regression (Civilization)--Fiction.,Tribes--Fiction.,Visionaries--Fiction.</t>
  </si>
  <si>
    <t>Covered Wagon Women, Volume 11</t>
  </si>
  <si>
    <t>Diaries and Letters From the Western Trails, 1879-1903</t>
  </si>
  <si>
    <t>HISTORY / United States / 19th Century</t>
  </si>
  <si>
    <t>F596</t>
  </si>
  <si>
    <t>Overland journeys to the Pacific.,Women pioneers--West (U.S.)--Biography.</t>
  </si>
  <si>
    <t>Holmes, Kenneth L.-Morrissey, Katherine G.</t>
  </si>
  <si>
    <t>Covered Wagon Women</t>
  </si>
  <si>
    <t>Covered Wagon Women, Volume 10</t>
  </si>
  <si>
    <t>Diaries and Letters From the Western Trails, 1875-1883</t>
  </si>
  <si>
    <t>Holmes, Kenneth L.-West, Elliott</t>
  </si>
  <si>
    <t>Covered Wagon Women, Volume 9</t>
  </si>
  <si>
    <t>Diaries and Letters From the Western Trails, 1864-1868</t>
  </si>
  <si>
    <t>Holmes, Kenneth L.-Smith, Sherry L.</t>
  </si>
  <si>
    <t>Covered Wagon Women, Volume 8</t>
  </si>
  <si>
    <t>Diaries and Letters From the Western Trails, 1862-1865</t>
  </si>
  <si>
    <t>Holmes, Kenneth L.-Montoya, MariÌa E.</t>
  </si>
  <si>
    <t>Frontiersmen in Blue</t>
  </si>
  <si>
    <t>The United States Army and the Indian, 1848-1865</t>
  </si>
  <si>
    <t>E81</t>
  </si>
  <si>
    <t>Utley, Robert M.</t>
  </si>
  <si>
    <t>Walter Johnson</t>
  </si>
  <si>
    <t>Baseball's Big Train</t>
  </si>
  <si>
    <t>SPORTS &amp; RECREATION / Baseball / General</t>
  </si>
  <si>
    <t>GV865.J6 T46 2014</t>
  </si>
  <si>
    <t>Pitchers (Baseball)--United States--Biography.</t>
  </si>
  <si>
    <t>Thomas, Henry W.</t>
  </si>
  <si>
    <t>A Passover Haggadah</t>
  </si>
  <si>
    <t>Go Forth and Learn</t>
  </si>
  <si>
    <t>The Jewish Publication Society</t>
  </si>
  <si>
    <t>BM674.643 .S585 2011eb</t>
  </si>
  <si>
    <t>Haggadot--Texts.,Judaism--Liturgy--Texts.,Seder--Liturgy--Texts.</t>
  </si>
  <si>
    <t>Silber, David.-Furst, Rachel</t>
  </si>
  <si>
    <t>Sandhill Sundays and Other Recollections</t>
  </si>
  <si>
    <t>PS3537.A667</t>
  </si>
  <si>
    <t>Western stories.</t>
  </si>
  <si>
    <t>Sandoz, Mari.</t>
  </si>
  <si>
    <t>Son of the Gamblin' Man</t>
  </si>
  <si>
    <t>The Youth of an Artist</t>
  </si>
  <si>
    <t>PZ3.S2174PS3537.A667</t>
  </si>
  <si>
    <t>Cogewea, The Half Blood</t>
  </si>
  <si>
    <t>A Depiction of the Great Montana Cattle Range</t>
  </si>
  <si>
    <t>PS3525.O872 C6 1981</t>
  </si>
  <si>
    <t>Okanagan Indians--Fiction.</t>
  </si>
  <si>
    <t>Mourning Dove</t>
  </si>
  <si>
    <t>The London Merchant</t>
  </si>
  <si>
    <t>DRAMA / General</t>
  </si>
  <si>
    <t>PS3561 .E3928 L522</t>
  </si>
  <si>
    <t>English drama--Restoration, 1660-1700.</t>
  </si>
  <si>
    <t>Lillo, George.-McBurney, William H.</t>
  </si>
  <si>
    <t>Celluloid Indians</t>
  </si>
  <si>
    <t>Native Americans and Film</t>
  </si>
  <si>
    <t>PERFORMING ARTS / Film / General</t>
  </si>
  <si>
    <t>PN1995.9.I48 K56 1999</t>
  </si>
  <si>
    <t>Indians in motion pictures.</t>
  </si>
  <si>
    <t>Kilpatrick, Jacquelyn</t>
  </si>
  <si>
    <t>Romantic Gothic</t>
  </si>
  <si>
    <t>An Edinburgh Companion</t>
  </si>
  <si>
    <t>Edinburgh University Press</t>
  </si>
  <si>
    <t>EUP</t>
  </si>
  <si>
    <t>LITERARY CRITICISM / Gothic &amp; Romance</t>
  </si>
  <si>
    <t>PN56.G63 R66 2016eb</t>
  </si>
  <si>
    <t>American literature--Themes, motives.,English literature--Themes, motives.,European literature--Themes, motives.,Gothic revival (Literature),Literature, Modern--18th century--History and criticism.,Literature, Modern--19th century--History and criticism.,Romanticism.</t>
  </si>
  <si>
    <t>Wright, Angela-Townshend, Dale-Saglia, Diego.</t>
  </si>
  <si>
    <t>Edinburgh Companions to the Gothic</t>
  </si>
  <si>
    <t>Latin Grammar</t>
  </si>
  <si>
    <t>A QuickStudy Language Reference Guide</t>
  </si>
  <si>
    <t>Firebrand Technologies</t>
  </si>
  <si>
    <t>QuickStudy Reference Guides</t>
  </si>
  <si>
    <t>FOREIGN LANGUAGE STUDY / Latin</t>
  </si>
  <si>
    <t>Liliane Arnet-Rachel Jacobs</t>
  </si>
  <si>
    <t>Excel 2013</t>
  </si>
  <si>
    <t>John Hales</t>
  </si>
  <si>
    <t>Medical Terminology:The Basics</t>
  </si>
  <si>
    <t>MEDICAL / Dictionaries &amp; Terminology</t>
  </si>
  <si>
    <t>BarCharts, Inc.</t>
  </si>
  <si>
    <t>Parliamentary Procedure</t>
  </si>
  <si>
    <t>Beauty Box</t>
  </si>
  <si>
    <t>Nordic Academic Press</t>
  </si>
  <si>
    <t>swe</t>
  </si>
  <si>
    <t>TherÃ©se Andersson</t>
  </si>
  <si>
    <t>Social Science in Context</t>
  </si>
  <si>
    <t>Per Wisselgren-Anna Larsson-Rickard Danell</t>
  </si>
  <si>
    <t>Tracing Old Norse Cosmology</t>
  </si>
  <si>
    <t>Anders AndrÃ©n</t>
  </si>
  <si>
    <t>Divided Cities</t>
  </si>
  <si>
    <t>Annika BjÃ¶rkdahl-Lisa StrÃ¶mbom</t>
  </si>
  <si>
    <t>A Clean House</t>
  </si>
  <si>
    <t>Andreas Bergh-Gissur Ã“ Erlingsson: Mats SjÃ¶lin-Richard Ã–hrvall</t>
  </si>
  <si>
    <t>Gamla II: The Architecture. The Shmarya Gutmann Ecxavations 1976-1990</t>
  </si>
  <si>
    <t>Danny Syon-Zvi Yavor</t>
  </si>
  <si>
    <t>Horbat 'Uza. The 1991 Excavations, Volume I: The Early Periods</t>
  </si>
  <si>
    <t>Nimrod Getzov, Ronny Lieberman-Wander, Howard Smithline-Danny Syon</t>
  </si>
  <si>
    <t>Nahal Hagit: A Roman and Mamluk Farmstead in the Southern Carmel</t>
  </si>
  <si>
    <t>Jon Seligman</t>
  </si>
  <si>
    <t>Horbat 'Uza. The 1991 Excavations, Volume II: The Late Periods</t>
  </si>
  <si>
    <t>Nimrod Getzov, Dina Avshalom-Gorni, Yael Gorin-Rosen, Edna J. Stern, Danny Syon-Ayelet Tatcher</t>
  </si>
  <si>
    <t>Od naÌrodopisu k evropskeÌ etnologii</t>
  </si>
  <si>
    <t>70 let UÌstavu evropskeÌ etnologie FilozofickeÌ fakulty Masarykovy univerzity</t>
  </si>
  <si>
    <t>Masaryk University Press</t>
  </si>
  <si>
    <t>Masarykova univerzita</t>
  </si>
  <si>
    <t>SOCIAL SCIENCE / Discrimination &amp; Race Relations</t>
  </si>
  <si>
    <t>GN307.85.C94 V35 2016eb</t>
  </si>
  <si>
    <t>Ethnology--Study and teaching--Czech Republic--Brno.</t>
  </si>
  <si>
    <t>cze</t>
  </si>
  <si>
    <t>VaÌlka, Miroslav-PavlicovaÌ, Martina-Masarykova univerzita v BrneÌŒ.-KrÌŒiÌzÌŒovaÌ, Alena</t>
  </si>
  <si>
    <t>EtnologickeÌ materiaÌly</t>
  </si>
  <si>
    <t>ZÌŒiÌtkovskeÌ bohyneÌŒ</t>
  </si>
  <si>
    <t>lidovaÌ magie na MoravskyÌch KopaniciÌch</t>
  </si>
  <si>
    <t>SOCIAL SCIENCE / Folklore &amp; Mythology</t>
  </si>
  <si>
    <t>GR154.2.Z58 D63 2016</t>
  </si>
  <si>
    <t>Folklore--Czech Republic--Z?iÂ´tkovaÂ´.,Medicine, Magic, mystic, and spagiric--Czech Republic--Z?iÂ´tkovaÂ´.,Traditional medicine--Czech Republic--Z?iÂ´tkovaÂ´.,Women healers--Czech Republic--Z?iÂ´tkovaÂ´.</t>
  </si>
  <si>
    <t>DobsÌŒovicÌŒovaÌ PintiÌrÌŒovaÌ, Dagmar-Masarykova univerzita v BrneÌŒ.</t>
  </si>
  <si>
    <t>LidoveÌ tradice jako soucÌŒaÌst kulturniÌho deÌŒdictviÌ</t>
  </si>
  <si>
    <t>DB2040 .K75 2015</t>
  </si>
  <si>
    <t>Czechs--Social life and customs.,Ethnology--Czech Republic.,Slovaks--Social life and customs.</t>
  </si>
  <si>
    <t>KrÌŒiÌzÌŒovaÌ, Alena-PavlicovaÌ, Martina-Masarykova univerzita v BrneÌŒ.-VaÌlka, Miroslav</t>
  </si>
  <si>
    <t>EtnologickeÌ studie</t>
  </si>
  <si>
    <t>StrÌŒedniÌ paleolit v moravskyÌch jeskyniÌch</t>
  </si>
  <si>
    <t>Middle palaeolithic in Moravian caves</t>
  </si>
  <si>
    <t>HISTORY / Europe / Germany</t>
  </si>
  <si>
    <t>GN772.22.C94 N47 2011eb</t>
  </si>
  <si>
    <t>Caves--Czech Republic--Moravia.,Excavations (Archaeology)--Czech Republic--Moravia.,Paleolithic period--Czech Republic--Moravia.</t>
  </si>
  <si>
    <t>Neruda, Petr-MeÌŒrÌŒiÌnskyÌ, ZdeneÌŒk-KlaÌpsÌŒteÌŒ, Jan</t>
  </si>
  <si>
    <t>Dissertationes archaeologicae Brunenses / Pragensesque</t>
  </si>
  <si>
    <t>OpevneÌŒniÌ Pohanska u BrÌŒeclavi</t>
  </si>
  <si>
    <t>DB2500.P63</t>
  </si>
  <si>
    <t>Excavations (Archaeology)--Czech Republic--Br?eclav (Okres),Fortification--Czech Republic--Br?eclav (Okres),Human settlements--Czech Republic--Br?eclav (Okres)</t>
  </si>
  <si>
    <t>Dresler, Petr-MeÌŒrÌŒiÌnskyÌ, ZdeneÌŒk-KlaÌpsÌŒteÌŒ, Jan</t>
  </si>
  <si>
    <t>Dissertationes archaeologicae Brunenses/Pragensesque</t>
  </si>
  <si>
    <t>Canadian Books for Young People, 1980</t>
  </si>
  <si>
    <t>Livres Canadiens Pour La Jeunesse, 1980</t>
  </si>
  <si>
    <t>University of Toronto Press</t>
  </si>
  <si>
    <t>University of Toronto Press, Scholarly Publishing Division</t>
  </si>
  <si>
    <t>LITERARY CRITICISM / Books &amp; Reading</t>
  </si>
  <si>
    <t>Z1378 .C32 1980eb</t>
  </si>
  <si>
    <t>Children's literature, Canadian--Bibliography.</t>
  </si>
  <si>
    <t>McDonough, Irma.</t>
  </si>
  <si>
    <t>Welfare and Wisdom</t>
  </si>
  <si>
    <t>POLITICAL SCIENCE / Public Policy / Social Services &amp; Welfare</t>
  </si>
  <si>
    <t>HV40.T56</t>
  </si>
  <si>
    <t>Public welfare.,Social service.</t>
  </si>
  <si>
    <t>Morgan, John Smith-University of Toronto.</t>
  </si>
  <si>
    <t>Fort Timiskaming and the Fur Trade</t>
  </si>
  <si>
    <t>F1054.T6 M57</t>
  </si>
  <si>
    <t>Fur trade--Timiskaming, Lake, Region.</t>
  </si>
  <si>
    <t>Mitchell, Elaine Allan</t>
  </si>
  <si>
    <t>Early Stages</t>
  </si>
  <si>
    <t>Theatre in Ontario, 1800-1914</t>
  </si>
  <si>
    <t>PERFORMING ARTS / Theater / General</t>
  </si>
  <si>
    <t>PN2305.O5 E25 1990</t>
  </si>
  <si>
    <t>Theater--Ontario--History--19th century.,Theater--Ontario--History--20th century.</t>
  </si>
  <si>
    <t>Saddlemyer, Ann.</t>
  </si>
  <si>
    <t>Ontario Historical Studies Series</t>
  </si>
  <si>
    <t>The Missing Child in Liberal Theory</t>
  </si>
  <si>
    <t>Towards a Covenant Theory of Family, Community, Welfare, and the Civic State</t>
  </si>
  <si>
    <t>HQ789 .O7 1994</t>
  </si>
  <si>
    <t>Child welfare.,Child welfare--Canada.,Children--Government policy.,Children--Government policy--Canada.,Family policy.,Family policy--Canada.</t>
  </si>
  <si>
    <t>O'Neill, John</t>
  </si>
  <si>
    <t>The Limits of Affluence</t>
  </si>
  <si>
    <t>Welfare in Ontario, 1920-1970</t>
  </si>
  <si>
    <t>SOCIAL SCIENCE / Human Services</t>
  </si>
  <si>
    <t>HV109.O64 S67 1994</t>
  </si>
  <si>
    <t>Public welfare--Ontario--History.</t>
  </si>
  <si>
    <t>Struthers, James</t>
  </si>
  <si>
    <t>Bibliography and Research Manual of the History of Mathematics</t>
  </si>
  <si>
    <t>MATHEMATICS / History &amp; Philosophy</t>
  </si>
  <si>
    <t>QA21.3 .M38</t>
  </si>
  <si>
    <t>Mathematics--History--Bibliography.</t>
  </si>
  <si>
    <t>May, Kenneth O.</t>
  </si>
  <si>
    <t>Soils in Canada</t>
  </si>
  <si>
    <t>Geological, Pedological and Engineering Studies</t>
  </si>
  <si>
    <t>TECHNOLOGY &amp; ENGINEERING / Engineering (General)</t>
  </si>
  <si>
    <t>S599.1.A1</t>
  </si>
  <si>
    <t>Soils--Canada.</t>
  </si>
  <si>
    <t>Legget, Robert Ferguson</t>
  </si>
  <si>
    <t>Residential Water Demand and Economic Development</t>
  </si>
  <si>
    <t>NATURE / Natural Resources</t>
  </si>
  <si>
    <t>HD4465.I5 L42</t>
  </si>
  <si>
    <t>Water-supply--India.</t>
  </si>
  <si>
    <t>Lee, Terence R.</t>
  </si>
  <si>
    <t>University of Toronto. Dept. Of Geography. Research Publications</t>
  </si>
  <si>
    <t>Studia Varia</t>
  </si>
  <si>
    <t>Literary and Scientific Papers</t>
  </si>
  <si>
    <t>SCIENCE / Essays</t>
  </si>
  <si>
    <t>AS42</t>
  </si>
  <si>
    <t>Murray, E. G. D.-Royal Society of Canada.</t>
  </si>
  <si>
    <t>Our Debt to the Future</t>
  </si>
  <si>
    <t>Symposium Presented on the Seventy-fifth Anniversary 1957 = PreÌsence De Demain: Colloque PreÌsenteÌ Au Soixante-quinzieme Anniversaire 1957</t>
  </si>
  <si>
    <t>SOCIAL SCIENCE / Essays</t>
  </si>
  <si>
    <t>PN4500</t>
  </si>
  <si>
    <t>Canadian essays.</t>
  </si>
  <si>
    <t>Elite Pluralism and Class Rule</t>
  </si>
  <si>
    <t>Political Development in Maharashtra, India</t>
  </si>
  <si>
    <t>POLITICAL SCIENCE / World / Asian</t>
  </si>
  <si>
    <t>JQ620.M26 L44</t>
  </si>
  <si>
    <t>Elite (Social sciences)--India--Maharashtra.,Social classes--India--Maharashtra.</t>
  </si>
  <si>
    <t>Lele, Jayant.</t>
  </si>
  <si>
    <t>A Guide to Old English</t>
  </si>
  <si>
    <t>Revised with Texts and Glossary</t>
  </si>
  <si>
    <t>LANGUAGE ARTS &amp; DISCIPLINES / Reference</t>
  </si>
  <si>
    <t>PE131.M5 1982</t>
  </si>
  <si>
    <t>Anglo-Saxons.,English language--Old English, ca. 450-1100--Grammar.,English language--Old English, ca. 450-1100--Texts.</t>
  </si>
  <si>
    <t>Mitchell, Bruce-Robinson, Fred C.</t>
  </si>
  <si>
    <t>A New Theory of Value</t>
  </si>
  <si>
    <t>The Canadian Economics of H.A. Innis</t>
  </si>
  <si>
    <t>BUSINESS &amp; ECONOMICS / Economics / Theory</t>
  </si>
  <si>
    <t>HB201 .N36</t>
  </si>
  <si>
    <t>Economics--Canada--History.,Value.</t>
  </si>
  <si>
    <t>Neill, Robin.</t>
  </si>
  <si>
    <t>Canadian University Paperbacks</t>
  </si>
  <si>
    <t>Leo Smith</t>
  </si>
  <si>
    <t>A Biographical Sketch</t>
  </si>
  <si>
    <t>BIOGRAPHY &amp; AUTOBIOGRAPHY / Music</t>
  </si>
  <si>
    <t>ML410.S644</t>
  </si>
  <si>
    <t>Composers--Biography.</t>
  </si>
  <si>
    <t>McCarthy, Pearl</t>
  </si>
  <si>
    <t>Federal State, National Economy</t>
  </si>
  <si>
    <t>BUSINESS &amp; ECONOMICS / Economic History</t>
  </si>
  <si>
    <t>JL27 .L435 1987</t>
  </si>
  <si>
    <t>Federal government--Canada.</t>
  </si>
  <si>
    <t>Leslie, Peter M.</t>
  </si>
  <si>
    <t>Rhetoric and Theology</t>
  </si>
  <si>
    <t>The Hermeneutic of Erasmus</t>
  </si>
  <si>
    <t>RELIGION / Philosophy</t>
  </si>
  <si>
    <t>B785.E64</t>
  </si>
  <si>
    <t>Hermeneutics--History--16th century.</t>
  </si>
  <si>
    <t>Hoffman, Manfred</t>
  </si>
  <si>
    <t>Erasmus Studies</t>
  </si>
  <si>
    <t>A Native Heritage</t>
  </si>
  <si>
    <t>Images of the Indian in English-Canadian Literature</t>
  </si>
  <si>
    <t>LITERARY CRITICISM / Canadian</t>
  </si>
  <si>
    <t>PS8103.I5 M6 1981</t>
  </si>
  <si>
    <t>Canadian literature--History and criticism.,Indians in literature.,Indians of North America--Canada--History.</t>
  </si>
  <si>
    <t>Monkman, Leslie.</t>
  </si>
  <si>
    <t>The Emigrant Experience</t>
  </si>
  <si>
    <t>Songs of Highland Emigrants in North America</t>
  </si>
  <si>
    <t>REFERENCE / Encyclopedias</t>
  </si>
  <si>
    <t>PB1684 .M32 1982</t>
  </si>
  <si>
    <t>Scots--North America--Music.,Scottish Gaelic poetry--North America--Translations into English.,Songs, Scottish Gaelic--North America--Texts.</t>
  </si>
  <si>
    <t>MacDonell, Margaret</t>
  </si>
  <si>
    <t>The Cod Fisheries</t>
  </si>
  <si>
    <t>The History of an International Economy</t>
  </si>
  <si>
    <t>HISTORY / World</t>
  </si>
  <si>
    <t>SH351.C5 I56 1978</t>
  </si>
  <si>
    <t>Cod fisheries--Economic aspects--History.,Cod fisheries--History.,Fish trade--History.,International economic relations.</t>
  </si>
  <si>
    <t>Innis, Harold A.</t>
  </si>
  <si>
    <t>Canadian University Paperbooks</t>
  </si>
  <si>
    <t>It's About Time</t>
  </si>
  <si>
    <t>The Dave Brubeck Story</t>
  </si>
  <si>
    <t>ML410.B868 H35 1996</t>
  </si>
  <si>
    <t>Hall, Fred</t>
  </si>
  <si>
    <t>Ethics, Life and Institutions</t>
  </si>
  <si>
    <t>An Attempt at Practical Philosophy</t>
  </si>
  <si>
    <t>Charles University in Prague, Karolinum Press</t>
  </si>
  <si>
    <t>PHILOSOPHY / Ethics &amp; Moral Philosophy</t>
  </si>
  <si>
    <t>BJ1012</t>
  </si>
  <si>
    <t>Ethics.,Philosophy.,Social sciences--Philosophy.</t>
  </si>
  <si>
    <t>SokoÌÅ‚, Jan</t>
  </si>
  <si>
    <t>Black Power at Work</t>
  </si>
  <si>
    <t>Community Control, Affirmative Action, and the Construction Industry</t>
  </si>
  <si>
    <t>Cornell University Press</t>
  </si>
  <si>
    <t>ILR Press</t>
  </si>
  <si>
    <t>POLITICAL SCIENCE / Labor &amp; Industrial Relations</t>
  </si>
  <si>
    <t>David A. Goldberg-Trevor Griffey</t>
  </si>
  <si>
    <t>European Unions</t>
  </si>
  <si>
    <t>Labor's Quest for a Transnational Democracy</t>
  </si>
  <si>
    <t>Roland Erne</t>
  </si>
  <si>
    <t>Magnetic Appeal</t>
  </si>
  <si>
    <t>MRI and the Myth of Transparency</t>
  </si>
  <si>
    <t>MEDICAL / Diagnostic Imaging / General</t>
  </si>
  <si>
    <t>Kelly Joyce</t>
  </si>
  <si>
    <t>The Feejee Mermaid and Other Essays in Natural and Unnatural History</t>
  </si>
  <si>
    <t>SCIENCE / Natural History</t>
  </si>
  <si>
    <t>julia Bondeson</t>
  </si>
  <si>
    <t>Reforming Law Reform: Perspectives From Hong Kong and Beyond</t>
  </si>
  <si>
    <t>Hong Kong University Press</t>
  </si>
  <si>
    <t>Michael Tilbury-Simon N. M. Young-Ludwig Ng</t>
  </si>
  <si>
    <t>The Judicial Construction of Hong Kongâ€™s Basic Law: Courts, Politics and Society After 1997</t>
  </si>
  <si>
    <t>Lo Pui Yin</t>
  </si>
  <si>
    <t>FrancouzskyÌ institut v Praze 1920-1951</t>
  </si>
  <si>
    <t>mezi vzdeÌŒlaÌniÌm a propagandou</t>
  </si>
  <si>
    <t>POLITICAL SCIENCE / International Relations / General</t>
  </si>
  <si>
    <t>DB2078.F7 H55 2009eb</t>
  </si>
  <si>
    <t>Learned institutions and societies--Czechoslovakia--History.</t>
  </si>
  <si>
    <t>Hnilica, JiÅ™Ã­</t>
  </si>
  <si>
    <t>Sikhs, Swamis, Students and Spies</t>
  </si>
  <si>
    <t>The India Lobby in the United States, 1900-1946</t>
  </si>
  <si>
    <t>Harold A Gould</t>
  </si>
  <si>
    <t>Black Yanks in the Pacific</t>
  </si>
  <si>
    <t>Race in the Making of American Military Empire After World War II</t>
  </si>
  <si>
    <t>HISTORY / United States / 20th Century</t>
  </si>
  <si>
    <t>Michael Cullen Green</t>
  </si>
  <si>
    <t>The United States in the World</t>
  </si>
  <si>
    <t>Heretics and Colonizers</t>
  </si>
  <si>
    <t>Forging Russia's Empire in the South Caucasus</t>
  </si>
  <si>
    <t>HISTORY / Russia &amp; the Former Soviet Union</t>
  </si>
  <si>
    <t>Nicholas B. Breyfogle</t>
  </si>
  <si>
    <t>Nations of Emigrants</t>
  </si>
  <si>
    <t>Shifting Boundaries of Citizenship in El Salvador and the United States</t>
  </si>
  <si>
    <t>SOCIAL SCIENCE / Anthropology / Cultural &amp; Social</t>
  </si>
  <si>
    <t>Susan Bibler Coutin</t>
  </si>
  <si>
    <t>Treason by Words</t>
  </si>
  <si>
    <t>Literature, Law, and Rebellion in Shakespeare's England</t>
  </si>
  <si>
    <t>LITERARY CRITICISM / Shakespeare</t>
  </si>
  <si>
    <t>Rebecca Lemon</t>
  </si>
  <si>
    <t>Communities of the Converted</t>
  </si>
  <si>
    <t>Ukrainians and Global Evangelism</t>
  </si>
  <si>
    <t>Catherine Wanner</t>
  </si>
  <si>
    <t>Culture and Society After Socialism</t>
  </si>
  <si>
    <t>Textures of Struggle</t>
  </si>
  <si>
    <t>The Emergence of Resistance Among Garment Workers in Thailand</t>
  </si>
  <si>
    <t>Piya Pangsapa</t>
  </si>
  <si>
    <t>Book of Tahkemoni</t>
  </si>
  <si>
    <t>Jewish Tales From Medieval Spain</t>
  </si>
  <si>
    <t>PJ5050.H3 T313 2001</t>
  </si>
  <si>
    <t>Harizi, Judah ben Solomon-Segal, David Simha</t>
  </si>
  <si>
    <t>Turn Aside From Evil and Do Good</t>
  </si>
  <si>
    <t>An Introduction and a Way to the Tree of Life</t>
  </si>
  <si>
    <t>RELIGION / Judaism / Sacred Writings</t>
  </si>
  <si>
    <t>BM525 .T7513 1995</t>
  </si>
  <si>
    <t>Cabala--Apologetic works.,Hasidism--Apologetic works.</t>
  </si>
  <si>
    <t>Tsevi Hirsh-Jacobs, Louis.-Dynow, ZÌ£evi Elimelech</t>
  </si>
  <si>
    <t>Kibbutz Movement: A History: Crisis and Achievement, 1939-1995 V. 2</t>
  </si>
  <si>
    <t>HX742.2.A3</t>
  </si>
  <si>
    <t>Kibbutzim--History.</t>
  </si>
  <si>
    <t>Near, Henry</t>
  </si>
  <si>
    <t>The Kibbutz Movement</t>
  </si>
  <si>
    <t>Kibbutz Movement: A History: Origins and Growth, 1909-1939 V. 1</t>
  </si>
  <si>
    <t>HX742.2.A3 N32 2007eb</t>
  </si>
  <si>
    <t>Meshal Haqadmoni Fables From the Distant Past</t>
  </si>
  <si>
    <t>A Parallel Hebrew-English Text</t>
  </si>
  <si>
    <t>PJ5050.S2 M4 2004eb</t>
  </si>
  <si>
    <t>Fables, Hebrew.</t>
  </si>
  <si>
    <t>×¡×”×•×œ×”, ×™×¦×—×§ ×‘×Ÿ ×©×œ×ž×”-×¡×”×•×œ×”, ×™×¦×—×§ ×‘×Ÿ ×©×œ×ž×” ××‘×Ÿ.</t>
  </si>
  <si>
    <t>Polin: Studies in Polish Jewry Volume 12</t>
  </si>
  <si>
    <t>Focusing on Galicia: Jews, Poles and Ukrainians 1772-1918</t>
  </si>
  <si>
    <t>Israel Bartal-Antony Polonsky</t>
  </si>
  <si>
    <t>Polin Studies in Polish Jewry</t>
  </si>
  <si>
    <t>Yiddish Theatre</t>
  </si>
  <si>
    <t>New Approaches</t>
  </si>
  <si>
    <t>PN3035 .Y745 2008eb</t>
  </si>
  <si>
    <t>Judaism and literature--Congresses.,Theater, Yiddish--Congresses.,Yiddish drama--History and criticism--Congresses.</t>
  </si>
  <si>
    <t>Berkowitz, Joel</t>
  </si>
  <si>
    <t>Realism, Caricature and Bias</t>
  </si>
  <si>
    <t>Fiction of Mendele Mocher Sefarim</t>
  </si>
  <si>
    <t>LITERARY CRITICISM / European / German</t>
  </si>
  <si>
    <t>PJ5129.A2 Z4997 1993</t>
  </si>
  <si>
    <t>Antisemitism--Psychological aspects.,Jews in literature.,Jews--Russia--Psychology.,Self-hate (Psychology)</t>
  </si>
  <si>
    <t>Aberbach, David</t>
  </si>
  <si>
    <t>Pride Versus Prejudice</t>
  </si>
  <si>
    <t>Jewish Doctors and Lawyers in England, 1890-1990</t>
  </si>
  <si>
    <t>MEDICAL / General</t>
  </si>
  <si>
    <t>R694 .C66 2003</t>
  </si>
  <si>
    <t>Antisemitism--England--History.,Jewish lawyers--England--History--19th century.,Jewish lawyers--England--History--20th century.,Jewish physicians--England--History--19th century.,Jewish physicians--England--History--20th century.</t>
  </si>
  <si>
    <t>Cooper, John</t>
  </si>
  <si>
    <t>Hebrew Poems From Spain</t>
  </si>
  <si>
    <t>POETRY / European / General</t>
  </si>
  <si>
    <t>PJ5059.E3 H43 2007eb</t>
  </si>
  <si>
    <t>Hebrew poetry, Medieval--Spain--Translations into English.</t>
  </si>
  <si>
    <t>Goldstein, David</t>
  </si>
  <si>
    <t>The Book in the Jewish World, 1700-1900</t>
  </si>
  <si>
    <t>Z228.H4 G7513 2007</t>
  </si>
  <si>
    <t>Books--History--18th century.,Books--History--19th century.,Hebrew imprints--History.,Jews--Intellectual life.</t>
  </si>
  <si>
    <t>Gries, Zeev.</t>
  </si>
  <si>
    <t>Marrano Poets of the Seventeenth Century</t>
  </si>
  <si>
    <t>An Anthology of the Poetry of Joao Pinto Delgado, Antonio Enriquez Gomez and Miguel De Barrios</t>
  </si>
  <si>
    <t>PQ6173.5.J47 M3 2007eb</t>
  </si>
  <si>
    <t>Civilization, Modern--17th century--Poetry.,Spanish poetry--Classical period, 1500-1700.,Spanish poetry--Classical period, 1500-1700--Translations into English.,Spanish poetry--Jewish authors.</t>
  </si>
  <si>
    <t>Delgado, JoaÌƒo Pinto-EnriÌquez GoÌmez, Antonio-Barrios, Miguel de-Oelman, Timothy</t>
  </si>
  <si>
    <t>Jewish Day Schools, Jewish Communities</t>
  </si>
  <si>
    <t>A Reconsideration</t>
  </si>
  <si>
    <t>LC723 .J49 2009</t>
  </si>
  <si>
    <t>Community and school--Cross-cultural studies.,Jewish day schools--Cross-cultural studies.,Jews--Education--Cross-cultural studies.</t>
  </si>
  <si>
    <t>Pomson, Alex.-Deitcher, Howard</t>
  </si>
  <si>
    <t>Primers Volume 1</t>
  </si>
  <si>
    <t>Nine Arches Press</t>
  </si>
  <si>
    <t>PR1228 .P75 2016eb</t>
  </si>
  <si>
    <t>English poetry--21st century.</t>
  </si>
  <si>
    <t>Clarkson, Geraldine-Cullen, Maureen-Griffiths, Katie-Ingrams, Lucy-Maris, Kathryn-Commane, Jane</t>
  </si>
  <si>
    <t>Primers</t>
  </si>
  <si>
    <t>House</t>
  </si>
  <si>
    <t>PR6103.O544 H68 2015eb</t>
  </si>
  <si>
    <t>Dating (Social customs)--Fiction.,Haunted houses--Fiction.,High schools--Fiction.,Paranormal fiction.,Schools--Fiction.</t>
  </si>
  <si>
    <t>Connell, Myra</t>
  </si>
  <si>
    <t>Hydrodaktulopsychicharmonica</t>
  </si>
  <si>
    <t>PR6113.E76</t>
  </si>
  <si>
    <t>English poetry.</t>
  </si>
  <si>
    <t>Merritt, Matt</t>
  </si>
  <si>
    <t>The Elephant Tests</t>
  </si>
  <si>
    <t>Melanchrini</t>
  </si>
  <si>
    <t>PR6120.A956</t>
  </si>
  <si>
    <t>Taylor, Maria</t>
  </si>
  <si>
    <t>Debut New Poets Series</t>
  </si>
  <si>
    <t>Hide</t>
  </si>
  <si>
    <t>PR6106.R44</t>
  </si>
  <si>
    <t>France, Angela</t>
  </si>
  <si>
    <t>Cairn</t>
  </si>
  <si>
    <t>PR6113.C355</t>
  </si>
  <si>
    <t>McCaffery, Richie</t>
  </si>
  <si>
    <t>Blue Movie</t>
  </si>
  <si>
    <t>PR6116.A744</t>
  </si>
  <si>
    <t>Parker, Bobby</t>
  </si>
  <si>
    <t>Arc</t>
  </si>
  <si>
    <t>PR6103.L37</t>
  </si>
  <si>
    <t>Clarke, David</t>
  </si>
  <si>
    <t>The Terrible</t>
  </si>
  <si>
    <t>PR6119.L86 T47 2015eb</t>
  </si>
  <si>
    <t>Sluman, Daniel</t>
  </si>
  <si>
    <t>Absence Has a Weight of Its Own</t>
  </si>
  <si>
    <t>PR6119.L86</t>
  </si>
  <si>
    <t>Nationalism's Bloody Terrain</t>
  </si>
  <si>
    <t>Racism, Class Inequality, and the Politics of Recognition</t>
  </si>
  <si>
    <t>Berghahn Books</t>
  </si>
  <si>
    <t>SOCIAL SCIENCE / Methodology</t>
  </si>
  <si>
    <t>HT1521 .N385 2006eb</t>
  </si>
  <si>
    <t>Equality.,Minorities--Political activity.,Racially mixed people--Political activity.,Racism.</t>
  </si>
  <si>
    <t>Baca, George.</t>
  </si>
  <si>
    <t>Critical Interventions: a Forum for Social Analysis</t>
  </si>
  <si>
    <t>Insiders and Outsiders</t>
  </si>
  <si>
    <t>Paradise and Reality in Mallorca</t>
  </si>
  <si>
    <t>TRAVEL / Europe / Spain &amp; Portugal</t>
  </si>
  <si>
    <t>DP402.D395 W3 1996eb</t>
  </si>
  <si>
    <t>Aliens--Spain--Deia`.,Tourism--Social aspects--Spain--Deia`.,Visitors, Foreign--Spain--Deia`.</t>
  </si>
  <si>
    <t>Waldren, Jacqueline</t>
  </si>
  <si>
    <t>New Directions in Anthropology</t>
  </si>
  <si>
    <t>The Populist Challenge</t>
  </si>
  <si>
    <t>Political Protest and Ethno-Nationalist Mobilization in France</t>
  </si>
  <si>
    <t>POLITICAL SCIENCE / Political Ideologies / Nationalism &amp; Patriotism</t>
  </si>
  <si>
    <t>JN3007.F68 R93 2004</t>
  </si>
  <si>
    <t>Populism--France.,Right-wing extremists--France.</t>
  </si>
  <si>
    <t>Rydgren, Jens.</t>
  </si>
  <si>
    <t>Berghahn Monographs in French Studies</t>
  </si>
  <si>
    <t>Claims to Memory</t>
  </si>
  <si>
    <t>Beyond Slavery and Emancipation in the French Caribbean</t>
  </si>
  <si>
    <t>POLITICAL SCIENCE / Colonialism &amp; Post-Colonialism</t>
  </si>
  <si>
    <t>F2151 .R33 2006</t>
  </si>
  <si>
    <t>Blacks--Cultural assimilation--West Indies, French.,Identity (Psychology)--West Indies, French.,Maroons--West Indies, French.,Memory--Social aspects--West Indies, French.,Myth--Social aspects--West Indies, French.,Philosophy, French--18th century.,Slavery--West Indies, French--Historiography.,Slaves--Emancipation--West Indies, French.</t>
  </si>
  <si>
    <t>Reinhardt, Catherine A.</t>
  </si>
  <si>
    <t>Polygons</t>
  </si>
  <si>
    <t>Plural Identities - Singular Narratives</t>
  </si>
  <si>
    <t>The Case of Northern Ireland</t>
  </si>
  <si>
    <t>DA990.U46 N53 2002</t>
  </si>
  <si>
    <t>Culture conflict--Northern Ireland.,Ethnic groups--Northern Ireland.,Group identity--Northern Ireland.</t>
  </si>
  <si>
    <t>Nic Craith, MaÌireÌad.</t>
  </si>
  <si>
    <t>Human Nature and the French Revolution</t>
  </si>
  <si>
    <t>From the Enlightenment to the Napoleonic Code</t>
  </si>
  <si>
    <t>BD450 .M277313 2001eb</t>
  </si>
  <si>
    <t>Enlightenment--France.,Philosophical anthropology--France--History--18th century.</t>
  </si>
  <si>
    <t>Martin, Xavier.</t>
  </si>
  <si>
    <t>Locating Memory</t>
  </si>
  <si>
    <t>Photographic Acts</t>
  </si>
  <si>
    <t>PHOTOGRAPHY / General</t>
  </si>
  <si>
    <t>TR183 .L63 2006eb</t>
  </si>
  <si>
    <t>History--Sources.,Photography--Philosophy.,Photography--Social aspects.,Space and time.</t>
  </si>
  <si>
    <t>Kuhn, Annette.-McAllister, Kirsten Emiko</t>
  </si>
  <si>
    <t>Remapping Cultural History</t>
  </si>
  <si>
    <t>Aesthetics in Performance</t>
  </si>
  <si>
    <t>Formations of Symbolic Construction and Experience</t>
  </si>
  <si>
    <t>PERFORMING ARTS / General</t>
  </si>
  <si>
    <t>BH301.E8 A38 2005eb</t>
  </si>
  <si>
    <t>Aesthetics.,Experience.,Performing arts--Philosophy.,Ritual.,Symbolism.</t>
  </si>
  <si>
    <t>Hobart, Angela.-Kapferer, Bruce.</t>
  </si>
  <si>
    <t>A Question of Priorities</t>
  </si>
  <si>
    <t>Democratic Reform and Economic Recovery in Postwar Germany</t>
  </si>
  <si>
    <t>DD901.F78 B64 1996</t>
  </si>
  <si>
    <t>Military government--Germany--Frankfurt am Main.,Military government--Germany--Munich.,Military government--Germany--Stuttgart.,Reconstruction (1939-1951)--Germany--Frankfurt am Main.,Reconstruction (1939-1951)--Germany--Munich.,Reconstruction (1939-1951)--Germany--Stuttgart.</t>
  </si>
  <si>
    <t>Boehling, Rebecca L.</t>
  </si>
  <si>
    <t>Monographs in German History</t>
  </si>
  <si>
    <t>Transactions, Transgressions, Transformation</t>
  </si>
  <si>
    <t>American Culture in Western Europe and Japan</t>
  </si>
  <si>
    <t>HISTORY / Modern / 20th Century</t>
  </si>
  <si>
    <t>D1065.U5 T7 2000</t>
  </si>
  <si>
    <t>Popular culture--Europe.,Popular culture--Japan.,Popular culture--United States.</t>
  </si>
  <si>
    <t>Fehrenbach, Heide.-Poiger, Uta G.</t>
  </si>
  <si>
    <t>The PLO: Critical Appraisals From the Inside</t>
  </si>
  <si>
    <t>African Books Collective</t>
  </si>
  <si>
    <t>Afro-Middle East Centre</t>
  </si>
  <si>
    <t>POLITICAL SCIENCE / Political Process / Political Parties</t>
  </si>
  <si>
    <t>Mohsen Moh'd Saleh-Na'eem Jeenah</t>
  </si>
  <si>
    <t>Sociology and Architectural Design</t>
  </si>
  <si>
    <t>Russell Sage Foundation</t>
  </si>
  <si>
    <t>ARCHITECTURE / General</t>
  </si>
  <si>
    <t>H31 .S67 no. 6eb</t>
  </si>
  <si>
    <t>Architectural design.,Architecture and society.,Architecture--Decision making.</t>
  </si>
  <si>
    <t>Zeisel, John.</t>
  </si>
  <si>
    <t>Social Science Frontiers</t>
  </si>
  <si>
    <t>Political Aspects of Social Indicators</t>
  </si>
  <si>
    <t>Implications for Research</t>
  </si>
  <si>
    <t>H31 .S67 no. 4</t>
  </si>
  <si>
    <t>Social indicators.,Social sciences--Research.</t>
  </si>
  <si>
    <t>Henriot, Peter J.</t>
  </si>
  <si>
    <t>The Cross in the Dark Valley</t>
  </si>
  <si>
    <t>The Canadian Protestant Missionary Movement in the Japanese Empire, 1931-1945</t>
  </si>
  <si>
    <t>Wilfrid Laurier University Press</t>
  </si>
  <si>
    <t>A. Hamish Ion</t>
  </si>
  <si>
    <t>Drugs in Pregnancy and Lactation</t>
  </si>
  <si>
    <t>Lippincott Williams &amp; Wilkins</t>
  </si>
  <si>
    <t>Wolters Kluwer Health</t>
  </si>
  <si>
    <t>MEDICAL / Gynecology &amp; Obstetrics</t>
  </si>
  <si>
    <t>Gerald G. Briggs-Roger K. Freeman-Craig V. Towers-Alicia B. Forinash</t>
  </si>
  <si>
    <t>THE FUNDAMENTALS OF ISLAMIC FINANCIAL INSTITUTIONS AND MARKET</t>
  </si>
  <si>
    <t>Universiti Sains Islam Malaysia</t>
  </si>
  <si>
    <t>UNIVERSITI SAINS ISLAM MALAYSIA</t>
  </si>
  <si>
    <t>MUHAMMAD RIDHWAN AB. AZIZ</t>
  </si>
  <si>
    <t>THE UNSUNG HEROINS: TRIBUTE TO DENTAL NURSES</t>
  </si>
  <si>
    <t>WAN MOHAMAD NASIR WAN OTHMAN</t>
  </si>
  <si>
    <t>ESSENTIAL FOUNDATIONS OF ISLAMIC MONEY AND CAPITAL MARKET</t>
  </si>
  <si>
    <t>READING ON RESEARCH METHODOLOGY IN LANGUAGE AND EDUCATIONAL STUDIES</t>
  </si>
  <si>
    <t>FARIZA PUTEH-BEHAK, HALIZA HARUN, HAZLEENA BAHARUN, RAMIAIDA DARMI</t>
  </si>
  <si>
    <t>The Midwife</t>
  </si>
  <si>
    <t>A Biography of Laurine Ekstrom Kingston</t>
  </si>
  <si>
    <t>BX8680.M58 K56 2012eb</t>
  </si>
  <si>
    <t>Midwives--Biography.,Mormon fundamentalism.</t>
  </si>
  <si>
    <t>Burgess, Vicky D</t>
  </si>
  <si>
    <t>World Film Locations: Vancouver</t>
  </si>
  <si>
    <t>Intellect</t>
  </si>
  <si>
    <t>Walls, Rachel</t>
  </si>
  <si>
    <t>Watching Films: New Perspectives on Movie-Going, Exhibition and Reception</t>
  </si>
  <si>
    <t>Moran, Albert-Aveyard, Karina</t>
  </si>
  <si>
    <t>Remapping Black Germany</t>
  </si>
  <si>
    <t>New Perspectives on Afro-German History, Politics, and Culture</t>
  </si>
  <si>
    <t>University of Massachusetts Press</t>
  </si>
  <si>
    <t>DD78.B55 R46 2016</t>
  </si>
  <si>
    <t>African Americans--Germany--History.,African Americans--Relations with Germans--History.,Blacks--Germany--History.,Blacks--Race identity--Germany--History.</t>
  </si>
  <si>
    <t>Lennox, Sara</t>
  </si>
  <si>
    <t>Book Collections on Project MUSE</t>
  </si>
  <si>
    <t>The Mongol Empire</t>
  </si>
  <si>
    <t>HISTORY / Europe / Eastern</t>
  </si>
  <si>
    <t>DS31-35.2</t>
  </si>
  <si>
    <t>Mongols--History--To 1500--Encyclopedias.</t>
  </si>
  <si>
    <t>May, Timothy.</t>
  </si>
  <si>
    <t>The Edinburgh History of the Islamic Empires</t>
  </si>
  <si>
    <t>Dreams of a More Perfect Union</t>
  </si>
  <si>
    <t>POLITICAL SCIENCE / History &amp; Theory</t>
  </si>
  <si>
    <t>Rogan Kersh</t>
  </si>
  <si>
    <t>Amphibians of Costa Rica</t>
  </si>
  <si>
    <t>Comstock Publishing Associates</t>
  </si>
  <si>
    <t>Twan Leenders</t>
  </si>
  <si>
    <t>Wildlife Conservation Society Birds of Brazil</t>
  </si>
  <si>
    <t>NATURE / Birdwatching Guides</t>
  </si>
  <si>
    <t>QL689</t>
  </si>
  <si>
    <t>Robert S. Ridgely-Guy Tudor-John A. Gwynne</t>
  </si>
  <si>
    <t>WCS Birds of Brazil Field Guides</t>
  </si>
  <si>
    <t>The Socioeconomic Dimensions of HIV/AIDS in Africa</t>
  </si>
  <si>
    <t>Challenges, Opportunities, and Misconceptions</t>
  </si>
  <si>
    <t>MEDICAL / AIDS &amp; HIV</t>
  </si>
  <si>
    <t>RA643.86.A357 S63 2010eb</t>
  </si>
  <si>
    <t>AIDS (Disease)--Economic aspects--Africa, Sub-Saharan.,AIDS (Disease)--Social aspects--Africa, Sub-Saharan.,HIV infections--Economic aspects--Africa, Sub-Saharan.,HIV infections--Social aspects--Africa, Sub-Saharan.</t>
  </si>
  <si>
    <t>Sahn, David E.-United Nations University.</t>
  </si>
  <si>
    <t>Africa Series</t>
  </si>
  <si>
    <t>Renovating Russia</t>
  </si>
  <si>
    <t>The Human Sciences and the Fate of Liberal Modernity, 1880â€“1930</t>
  </si>
  <si>
    <t>H53.R9</t>
  </si>
  <si>
    <t>Liberalism--Russia--History.,Medical sciences--Russia--History.,Medical sciences--Soviet Union--History.,Social engineering--Russia--History.,Social engineering--Soviet Union--History.,Social sciences--Russia--History.,Social sciences--Soviet Union--History.</t>
  </si>
  <si>
    <t>Beer, Daniel.</t>
  </si>
  <si>
    <t>Pretty Creatures</t>
  </si>
  <si>
    <t>Children and Fiction in the English Renaissance</t>
  </si>
  <si>
    <t>PR428.C44 W58 2007eb</t>
  </si>
  <si>
    <t>Children in literature.,Children--England--History--16th century.,Children--England--History--17th century.,English literature--Early modern, 1500-1700--History and criticism.,Theater and children--England--History--16th century.,Theater and children--England--History--17th century.</t>
  </si>
  <si>
    <t>Witmore, Michael.</t>
  </si>
  <si>
    <t>The Aesthetics of Antichrist</t>
  </si>
  <si>
    <t>From Christian Drama to Christopher Marlowe</t>
  </si>
  <si>
    <t>LITERARY CRITICISM / Drama</t>
  </si>
  <si>
    <t>PR2677.R4 P37 2007eb</t>
  </si>
  <si>
    <t>Antichrist in literature.,Christian drama, English--History and criticism.,Christianity and literature--England--History--16th century.,English drama--Early modern and Elizabethan, 1500-1600--History and criticism.</t>
  </si>
  <si>
    <t>Parker, John</t>
  </si>
  <si>
    <t>States' Gains, Labor's Losses</t>
  </si>
  <si>
    <t>China, France, and Mexico Choose Global Liaisons, 1980â€“2000</t>
  </si>
  <si>
    <t>POLITICAL SCIENCE / Political Economy</t>
  </si>
  <si>
    <t>HD8736.5 .S65 2009eb</t>
  </si>
  <si>
    <t>Industrial relations--China.,Industrial relations--France.,Industrial relations--Mexico.,Labor policy--China.,Labor policy--France.,Labor policy--Mexico.</t>
  </si>
  <si>
    <t>Solinger, Dorothy J.</t>
  </si>
  <si>
    <t>Worldly Acts and Sentient Things</t>
  </si>
  <si>
    <t>The Persistence of Agency From Stein to DeLillo</t>
  </si>
  <si>
    <t>LITERARY CRITICISM / American / General</t>
  </si>
  <si>
    <t>PS288.A49 C48 2008eb</t>
  </si>
  <si>
    <t>Agent (Philosophy) in literature.,American literature--20th century--History and criticism.,Consciousness in literature.,Philosophy, Modern, in literature.,Subjectivity in literature.</t>
  </si>
  <si>
    <t>Chodat, Robert</t>
  </si>
  <si>
    <t>Entrepreneurial States</t>
  </si>
  <si>
    <t>Reforming Corporate Governance in France, Japan, and Korea</t>
  </si>
  <si>
    <t>HD2856 .T53 2007eb</t>
  </si>
  <si>
    <t>Capital movements--Government policy--France.,Capital movements--Government policy--Japan.,Capital movements--Government policy--Korea (South),Corporate governance--Political aspects--France.,Corporate governance--Political aspects--Japan.,Corporate governance--Political aspects--Korea (South),Corporate reorganizations--Political aspects--France.,Corporate reorganizations--Political aspects--Japan.,Corporate reorganizations--Political aspects--Korea (South)</t>
  </si>
  <si>
    <t>Tiberghien, Yves.</t>
  </si>
  <si>
    <t>Cornell Studies in Political Economy</t>
  </si>
  <si>
    <t>The Social Life of Fluids</t>
  </si>
  <si>
    <t>Blood, Milk, and Water in the Victorian Novel</t>
  </si>
  <si>
    <t>PR878.B62 L38 2010eb</t>
  </si>
  <si>
    <t>Body fluids in literature.,English fiction--19th century--History and criticism.</t>
  </si>
  <si>
    <t>Law, Jules David</t>
  </si>
  <si>
    <t>Fading Corporatism</t>
  </si>
  <si>
    <t>Israel's Labor Law and Industrial Relations in Transition</t>
  </si>
  <si>
    <t>LAW / Labor &amp; Employment</t>
  </si>
  <si>
    <t>KMK1220 .M86 2007eb</t>
  </si>
  <si>
    <t>Corporate state--Israel.,Industrial relations--Israel.,Labor laws and legislation--Israel.</t>
  </si>
  <si>
    <t>MundlakÌ£, Gai.</t>
  </si>
  <si>
    <t>Public Law and Private Power</t>
  </si>
  <si>
    <t>Corporate Governance Reform in the Age of Finance Capitalism</t>
  </si>
  <si>
    <t>HD2741 .C56 2010eb</t>
  </si>
  <si>
    <t>Corporate governance--Law and legislation--Germany.,Corporate governance--Law and legislation--United States.,Corporate governance--Political aspects--Germany.,Corporate governance--Political aspects--United States.,Financial crises.,International finance.</t>
  </si>
  <si>
    <t>Cioffi, John W.</t>
  </si>
  <si>
    <t>Defiant Dads</t>
  </si>
  <si>
    <t>Fathers' Rights Activists in America</t>
  </si>
  <si>
    <t>POLITICAL SCIENCE / Public Policy / Social Policy</t>
  </si>
  <si>
    <t>KF547 .C76 2008eb</t>
  </si>
  <si>
    <t>Child support--Law and legislation--United States.,Custody of children--United States.,Divorced fathers--Legal status, laws, etc.--United States.,Fathers--Legal status, laws, etc.--United States.,Self-help groups--United States.</t>
  </si>
  <si>
    <t>Crowley, Jocelyn Elise</t>
  </si>
  <si>
    <t>An Elusive Unity</t>
  </si>
  <si>
    <t>Urban Democracy and Machine Politics in Industrializing America</t>
  </si>
  <si>
    <t>JS431 .C645 2010eb</t>
  </si>
  <si>
    <t>Cultural pluralism--Middle West--History--19th century.,Cultural pluralism--Northeastern States--History--19th century.,Democracy--Middle West--History--19th century.,Democracy--Northeastern States--History--19th century.,Municipal government--Middle West--History--19th century.,Municipal government--Northeastern States--History--19th century.,Political culture--Middle West--History--19th century.,Political culture--Northeastern States--History--19th century.</t>
  </si>
  <si>
    <t>Connolly, James J.</t>
  </si>
  <si>
    <t>Doing Fieldwork in China ... with Kids!: The Dynamics of Accompanied Fieldwork in the Peopleâ€™s Republic</t>
  </si>
  <si>
    <t>Nordic Institute of Asian Studies (NIAS Press)</t>
  </si>
  <si>
    <t>NIAS Press</t>
  </si>
  <si>
    <t>Candice Cornet-Tami Blumenfield (eds)</t>
  </si>
  <si>
    <t>The Shanghai Cooperation Organization and Eurasian Geopolitics: New Directions, Perspectives, and Challenges</t>
  </si>
  <si>
    <t>Michael Fredholm (ed.)</t>
  </si>
  <si>
    <t>Wu Song Fights the Tiger: The Interaction of Oral and Written Traditions in the Chinese Novel, Drama and Storytelling</t>
  </si>
  <si>
    <t>Vibeke BÃ¸rdahl</t>
  </si>
  <si>
    <t>After the Great East Japan Earthquake: Political and Policy Change in Post-Fukushima Japan</t>
  </si>
  <si>
    <t>Dominic Al-Badri-Gijs Berends (eds)</t>
  </si>
  <si>
    <t>Dialogue with North Korea?: Preconditions for Talking Human Rights With a Hermit Kingdom</t>
  </si>
  <si>
    <t>Geir Helgesen-Hatla Thelle</t>
  </si>
  <si>
    <t>Beyond the Singapore Girl: Discourses of Gender and Nation in Singapore</t>
  </si>
  <si>
    <t>NiAS Press</t>
  </si>
  <si>
    <t>Chris Hudson</t>
  </si>
  <si>
    <t>Power and Dissent in Imperial Japan</t>
  </si>
  <si>
    <t>Three Forms of Political Engament</t>
  </si>
  <si>
    <t>DS881.9</t>
  </si>
  <si>
    <t>Dissenters--Japan--History--19th century.,Dissenters--Japan--History--20th century.,Representative government and representation--Japan--History.</t>
  </si>
  <si>
    <t>Sasamoto-Collins, Hiromi</t>
  </si>
  <si>
    <t>Nordic Institute of Asian Studies Monograph Series</t>
  </si>
  <si>
    <t>Negotiating Autonomy in Greater China: Hong Kong and Its Sovereign Before and After 1997</t>
  </si>
  <si>
    <t>Ray Yep (ed.)</t>
  </si>
  <si>
    <t>Hot Science, High Water: Assembling Nature, Society and Environmental Policy in Contemporary Vietnam</t>
  </si>
  <si>
    <t>Eren Zink</t>
  </si>
  <si>
    <t>Pattern and Loom: A Practical Study of the Development of Weaving Techniques in China, Western Asia and Europe</t>
  </si>
  <si>
    <t>John Becker-Donald B. Wagner (collaborator)</t>
  </si>
  <si>
    <t>On the Fringes of the Harmonious Society</t>
  </si>
  <si>
    <t>Tibetans and Uyghurs in Socialist China</t>
  </si>
  <si>
    <t>BUSINESS &amp; ECONOMICS / Industries / General</t>
  </si>
  <si>
    <t>DS730 .O5 2014</t>
  </si>
  <si>
    <t>Chinese autonomous regions.,Tibetans--China.,Uighur (Turkic people)--China.</t>
  </si>
  <si>
    <t>Brox, Trine-BelleÌr-Hann, IldikoÌ</t>
  </si>
  <si>
    <t>NIAS Studies in Asian Topics</t>
  </si>
  <si>
    <t>Vietnam's New Middle Classes</t>
  </si>
  <si>
    <t>Gender, Career, City</t>
  </si>
  <si>
    <t>SOCIAL SCIENCE / Minority Studies</t>
  </si>
  <si>
    <t>HQ1750.5 .E27 2014</t>
  </si>
  <si>
    <t>City and town life--Vietnam.,Middle class women--Vietnam.,Middle class--Vietnam.,Urban women--Vietnam--Economic conditions--21st century.,Urban women--Vietnam--Social conditions--21st century.,Urbanization--Social aspects--Vietnam.,Women--Vietnam--Economic conditions.,Women--Vietnam--Social conditions.</t>
  </si>
  <si>
    <t>Earl, Catherine</t>
  </si>
  <si>
    <t>Gendering Asia</t>
  </si>
  <si>
    <t>Burma/Myanmar â€“ Where Now?</t>
  </si>
  <si>
    <t>Mikael Gravers-Flemming Ytzen (eds)</t>
  </si>
  <si>
    <t>Walking a Tightrope: Defending Human Rights in China</t>
  </si>
  <si>
    <t>Gert Holmgaard-Nielsen</t>
  </si>
  <si>
    <t>Tuked Rini, Cosmic Traveller: Life and Legend in the Heart of Borneo</t>
  </si>
  <si>
    <t>Monica Janowski</t>
  </si>
  <si>
    <t>Governing Civil Service Pay in China</t>
  </si>
  <si>
    <t>Alfred M. Wu</t>
  </si>
  <si>
    <t>Recruit to Revolution: Adventure and Politics During the Indonesian Struggle for Independence</t>
  </si>
  <si>
    <t>John Coast-Laura Noszlopy (ed.)</t>
  </si>
  <si>
    <t>Queer/Tongzhi China</t>
  </si>
  <si>
    <t>New Perspectives on Research, Activism and Media Cultures</t>
  </si>
  <si>
    <t>SOCIAL SCIENCE / Popular Culture</t>
  </si>
  <si>
    <t>HQ73.3.C6</t>
  </si>
  <si>
    <t>Feminists--China.,Gays--China.,Gender identity--China.,Queer theory.,Sexual minorities in mass media.,Sexual minorities--China.,Sexual minorities--Research.,Sexual minority community--China.</t>
  </si>
  <si>
    <t>Engebretsen, Elisabeth L.-Nordic Institute of Asian Studies.-Schroeder, William F.-Bao, Hongwei</t>
  </si>
  <si>
    <t>UNESCO in Southeast Asia: World Heritage Sites in Comparative Perspective</t>
  </si>
  <si>
    <t>Victor T. King (ed.)</t>
  </si>
  <si>
    <t>The Bodo of Assam: Revisiting a Classical Study From 1950</t>
  </si>
  <si>
    <t>Halfdan Siiger-Peter B. Andersen (ed.)-Santosh K. Soren (ed.)</t>
  </si>
  <si>
    <t>Cultivating Gender</t>
  </si>
  <si>
    <t>Meanings of Place and Work in Rural Vietnam</t>
  </si>
  <si>
    <t>HD2080.5</t>
  </si>
  <si>
    <t>Agriculture--Sex differences--Vietnam.,Agriculture--Social aspects--Vietnam.,Farm life--Sex differences--Vietnam.,Sex role--Vietnam.,Sexual division of labor--Vietnam.,Women in agriculture--Vietnam.,Women peasants--Vietnam.</t>
  </si>
  <si>
    <t>Bergstedt, Cecilia</t>
  </si>
  <si>
    <t>King Norodomâ€™s Head: Phnom Penh Sights Beyond the Guidebooks</t>
  </si>
  <si>
    <t>Steven S. Boswell</t>
  </si>
  <si>
    <t>Gendered Entanglements: Revisiting Gender in Rapidly Changing Asia</t>
  </si>
  <si>
    <t>NIAs Press</t>
  </si>
  <si>
    <t>Ragnhild Lund-Philippe Doneys-Bernadette P. ResurrecciÃ³n (eds)</t>
  </si>
  <si>
    <t>End of Empire: 100 Days in 1945 That Changed Asia and the World</t>
  </si>
  <si>
    <t>David P. Chandler-Robert Cribb-Li Narangoa (eds.)</t>
  </si>
  <si>
    <t>Mobile Citizens: French Indians in Indochina, 1858â€“1954</t>
  </si>
  <si>
    <t>Natasha Pairaudeau</t>
  </si>
  <si>
    <t>War and Peace in the Borderlands of Myanmar</t>
  </si>
  <si>
    <t>The Kachin Ceasefire, 1994-2011</t>
  </si>
  <si>
    <t>HISTORY / Asia / Southeast Asia</t>
  </si>
  <si>
    <t>DS530.65 .W37 2016</t>
  </si>
  <si>
    <t>Sadan, Mandy</t>
  </si>
  <si>
    <t>Cambodia Votes: Democracy, Authority and International Support for Elections 1993â€“2013</t>
  </si>
  <si>
    <t>Michael Luke Sullivan</t>
  </si>
  <si>
    <t>Reinventing Social Democratic Development: Insights From Indian and Scandinavian Comparisons</t>
  </si>
  <si>
    <t>Olle TÃ¶rnquist-John Harriss (eds.)</t>
  </si>
  <si>
    <t>The Malayan Emergency: A Small, Distant War</t>
  </si>
  <si>
    <t>Souchou Yao</t>
  </si>
  <si>
    <t>China's Contested Internet</t>
  </si>
  <si>
    <t>COMPUTERS / Machine Theory</t>
  </si>
  <si>
    <t>HN740.Z9</t>
  </si>
  <si>
    <t>Internet--China.,Internet--Political aspects--China.,Internet--Social aspects--China.</t>
  </si>
  <si>
    <t>Yang, Guobin</t>
  </si>
  <si>
    <t>Governance in Asia</t>
  </si>
  <si>
    <t>Black Savannah, 1788â€“1864</t>
  </si>
  <si>
    <t>F294.S2 J64 1996</t>
  </si>
  <si>
    <t>African Americans--Georgia--Savannah--Economic conditions.,African Americans--Georgia--Savannah--History.,African Americans--Georgia--Savannah--Social conditions.</t>
  </si>
  <si>
    <t>Johnson, Whittington Bernard</t>
  </si>
  <si>
    <t>Bollywood</t>
  </si>
  <si>
    <t>Sociology Goes To the Movies</t>
  </si>
  <si>
    <t>LANGUAGE ARTS &amp; DISCIPLINES / Communication Studies</t>
  </si>
  <si>
    <t>PN1993.5.I8 D83 2006</t>
  </si>
  <si>
    <t>Motion picture industry--India--Mumbai.,Motion pictures--Social aspects--India.</t>
  </si>
  <si>
    <t>Dudrah, Rajinder Kumar.</t>
  </si>
  <si>
    <t>Planning for Death</t>
  </si>
  <si>
    <t>Wills and Death-related Property Arrangements in Europe, 1200-1600</t>
  </si>
  <si>
    <t>Brill Academic Publishers</t>
  </si>
  <si>
    <t>Brill</t>
  </si>
  <si>
    <t>LAW / Administrative Law &amp; Regulatory Practice</t>
  </si>
  <si>
    <t>KJC1467.A6</t>
  </si>
  <si>
    <t>Law, Medieval--Congresses.,Wills--Europe--History--16th century--Congresses.,Wills--Europe--History--To 1500--Congresses.</t>
  </si>
  <si>
    <t>Korpiola, Mia-Lahtinen, Anu</t>
  </si>
  <si>
    <t>Medieval Law and Its Practice</t>
  </si>
  <si>
    <t>Akko I: The 1991-1998 Excavations: The Crusader-Period Pottery. Part 2: Plates</t>
  </si>
  <si>
    <t>Edna J. Stern</t>
  </si>
  <si>
    <t>Akko I: The 1991-1998 Excavations: The Crusader-Period Pottery. Part 1: Text</t>
  </si>
  <si>
    <t>Mary's Well, Nazareth: The Late Hellenistic to the Ottoman Periods</t>
  </si>
  <si>
    <t>Yardena Alexandre</t>
  </si>
  <si>
    <t>Bet She'an II: The Theather Pottery Workshop</t>
  </si>
  <si>
    <t>Rachel Bar-Nathan</t>
  </si>
  <si>
    <t>The International Politics of the Middle East</t>
  </si>
  <si>
    <t>Second Edition</t>
  </si>
  <si>
    <t>Manchester University Press</t>
  </si>
  <si>
    <t>PERFORMING ARTS / Individual Director</t>
  </si>
  <si>
    <t>DS63.18 .H56 2015eb</t>
  </si>
  <si>
    <t>Nation-state.,Postcolonialism--Middle East.,Regionalism--Middle East.</t>
  </si>
  <si>
    <t>Hinnebusch, Raymond A.</t>
  </si>
  <si>
    <t>Regional International Politics Ser</t>
  </si>
  <si>
    <t>Women Police</t>
  </si>
  <si>
    <t>Gender, Welfare and Surveillance in the Twentieth Century</t>
  </si>
  <si>
    <t>HV8023 .J33 2006eb</t>
  </si>
  <si>
    <t>Feminist criminology.,Policewomen--History--20th century.,Policewomen--Social conditions.,Sex role in the work environment.</t>
  </si>
  <si>
    <t>Jackson, Louise A.</t>
  </si>
  <si>
    <t>Gender in History</t>
  </si>
  <si>
    <t>The End of the Experiment?</t>
  </si>
  <si>
    <t>From Competition to the Foundational Economy</t>
  </si>
  <si>
    <t>POLITICAL SCIENCE / Peace</t>
  </si>
  <si>
    <t>Andrew Bowman-Julie  Froud-Sukhdev  Johal</t>
  </si>
  <si>
    <t>Manchester Capitalism</t>
  </si>
  <si>
    <t>â€˜No Historie So Meeteâ€™</t>
  </si>
  <si>
    <t>Gentry Culture and the Development of Local History in Elizabethan and Early Stuart England</t>
  </si>
  <si>
    <t>HISTORY / Europe / Great Britain / General</t>
  </si>
  <si>
    <t>DA1 .B79 2006</t>
  </si>
  <si>
    <t>Gentry--England--History--16th century.</t>
  </si>
  <si>
    <t>Broadway, Jan.</t>
  </si>
  <si>
    <t>Politics, Culture and Society in Early Modern Britain</t>
  </si>
  <si>
    <t>Nature and Culture</t>
  </si>
  <si>
    <t>Objects, Disciplines and the Manchester Museum</t>
  </si>
  <si>
    <t>ART / Museum Studies</t>
  </si>
  <si>
    <t>AM43.M26 A53 2009eb</t>
  </si>
  <si>
    <t>Museums--Collection management.,Museums--Collection management--England--Manchester--History.,Museums--History--20th century.</t>
  </si>
  <si>
    <t>Alberti, Samuel J. M. M.</t>
  </si>
  <si>
    <t>Mother and Child</t>
  </si>
  <si>
    <t>Maternity and Child Welfare in Dublin, 1922â€“60</t>
  </si>
  <si>
    <t>HISTORY / Europe / Ireland</t>
  </si>
  <si>
    <t>HQ759 .E27 2007eb</t>
  </si>
  <si>
    <t>Mother and child--Health and hygiene--Ireland--Dublin.,Mother and child--Ireland--Dublin--20th century.,Mother and child--Ireland--Dublin--Religious aspects.,Motherhood--Government policy--Ireland.,Unmarried mothers--Ireland--Dublin--20th century.</t>
  </si>
  <si>
    <t>Earner-Byrne, Lindsey.</t>
  </si>
  <si>
    <t>Historical Literatures</t>
  </si>
  <si>
    <t>Writing About the Past in England, 1660â€“1740</t>
  </si>
  <si>
    <t>PR431 .G35 2012eb</t>
  </si>
  <si>
    <t>English literature--17th century--History and criticism.,English literature--18th century--History and criticism.,Literature and history--Great Britain--History--17th century.,Literature and history--Great Britain--History--18th century.</t>
  </si>
  <si>
    <t>Gallagher, Noelle</t>
  </si>
  <si>
    <t>Tales of Magic, Tales in Print</t>
  </si>
  <si>
    <t>On the Genealogy of Fairy Tales and the Brothers Grimm</t>
  </si>
  <si>
    <t>GR55.G695 B54 2012</t>
  </si>
  <si>
    <t>Fairy tales--History and criticism.,Transmission of texts--Europe--History.</t>
  </si>
  <si>
    <t>BleÌcourt, Willem de</t>
  </si>
  <si>
    <t>Making Socialists</t>
  </si>
  <si>
    <t>Mary Bridges Adams and the Fight for Knowledge and Power, 1855â€“1939</t>
  </si>
  <si>
    <t>EDUCATION / History</t>
  </si>
  <si>
    <t>HX244.7.A33 M37 2010eb</t>
  </si>
  <si>
    <t>Political activists--Great Britain--Biography.,Socialists--Great Britain--Biography.,Women political activists--Great Britain--Biography.,Women socialists--Great Britain--Biography.</t>
  </si>
  <si>
    <t>Martin, Jane</t>
  </si>
  <si>
    <t>Carson's Army</t>
  </si>
  <si>
    <t>The Ulster Volunteer Force, 1910â€“22</t>
  </si>
  <si>
    <t>DA959 .B68 2007</t>
  </si>
  <si>
    <t>Bowman, Timothy</t>
  </si>
  <si>
    <t>Using Film As a Source</t>
  </si>
  <si>
    <t>PERFORMING ARTS / Film / History &amp; Criticism</t>
  </si>
  <si>
    <t>Sian Barber</t>
  </si>
  <si>
    <t>IHR Research Guides</t>
  </si>
  <si>
    <t>In Whose Eyes</t>
  </si>
  <si>
    <t>The Memoir of a Vietnamese Filmmaker in War and Peace</t>
  </si>
  <si>
    <t>HISTORY / Military / Vietnam War</t>
  </si>
  <si>
    <t>PN2889.89.T74 A6 2016</t>
  </si>
  <si>
    <t>Motion picture producers and directors--Vietnam--Biography.</t>
  </si>
  <si>
    <t>TraÌ‚Ì€n, VaÌ†n ThuÌ‰y-Quang, Nguyen Dy-Henry, Eric-LeÌ‚, Thanh DuÌƒng-Karlin, Wayne</t>
  </si>
  <si>
    <t>Culture and Politics in the Cold War and Beyond</t>
  </si>
  <si>
    <t>Measuring the Harlem Renaissance</t>
  </si>
  <si>
    <t>The U.S. Census, African American Identity, and Literary Form</t>
  </si>
  <si>
    <t>PS153.N5 S6465 2016</t>
  </si>
  <si>
    <t>African Americans in literature.,American literature--20th century--History and criticism.,American literature--African American authors--History and criticism.,Harlem Renaissance.,Modernism (Literature)--United States.</t>
  </si>
  <si>
    <t>Soto, Michael</t>
  </si>
  <si>
    <t>An Abolitionist Abroad</t>
  </si>
  <si>
    <t>Sarah Parker Remond in Cosmopolitan Europe</t>
  </si>
  <si>
    <t>E449.R319 S25 2016</t>
  </si>
  <si>
    <t>African American abolitionists--Biography.,African American intellectuals--Biography.,African American women abolitionists--Biography.,African Americans--Intellectual life--19th century.</t>
  </si>
  <si>
    <t>Salenius, Sirpa</t>
  </si>
  <si>
    <t>Reading America</t>
  </si>
  <si>
    <t>Citizenship, Democracy, and Cold War Literature</t>
  </si>
  <si>
    <t>PS3613.A8488 R43 2016</t>
  </si>
  <si>
    <t>American literature--20th century--History and criticism.,Books and reading--Social aspects--United States--History--20th century.,Citizenship in literature.,Cold War in literature.,Democracy in literature.,Identity (Psychology) in literature.,Literature and society--United States--History--20th century.,Politics and literature.</t>
  </si>
  <si>
    <t>Matthews, Kristin L.</t>
  </si>
  <si>
    <t>Studies in Print Culture and the History of the Book</t>
  </si>
  <si>
    <t>Pharsalia</t>
  </si>
  <si>
    <t>POETRY / Ancient &amp; Classical</t>
  </si>
  <si>
    <t>PA6479.E5 J686 1993</t>
  </si>
  <si>
    <t>Epic poetry, Latin--Translations into English.,Pharsalus, Battle of, Farsala, Greece, 48 B.C--Poetry.</t>
  </si>
  <si>
    <t>Lucan</t>
  </si>
  <si>
    <t>Masters of Latin Literature</t>
  </si>
  <si>
    <t>True France</t>
  </si>
  <si>
    <t>The Wars Over Cultural Identity, 1900â€“1945</t>
  </si>
  <si>
    <t>HISTORY / Europe / France</t>
  </si>
  <si>
    <t>DC33.7 L43 1992eb</t>
  </si>
  <si>
    <t>Politics and culture--France--History--20th century.</t>
  </si>
  <si>
    <t>Lebovics, Herman.</t>
  </si>
  <si>
    <t>The Wilder House Series in Politics, History, and Culture</t>
  </si>
  <si>
    <t>State and Society in Contemporary Korea</t>
  </si>
  <si>
    <t>JQ1729.A15 S73 1993</t>
  </si>
  <si>
    <t>Koo, Hagen-Joint Committee on Korean Studies.</t>
  </si>
  <si>
    <t>Between the Sign and the Gaze</t>
  </si>
  <si>
    <t>LITERARY CRITICISM / Subjects &amp; Themes / Women</t>
  </si>
  <si>
    <t>PN56.P92 R37 1994</t>
  </si>
  <si>
    <t>Fantasy.,Psychoanalysis and literature.</t>
  </si>
  <si>
    <t>Rapaport, Herman</t>
  </si>
  <si>
    <t>Fichte</t>
  </si>
  <si>
    <t>Foundations of Transcendental Philosophy (Wissenschaftslehre) Nova Methodo (1796â€“99)</t>
  </si>
  <si>
    <t xml:space="preserve">PHILOSOPHY / Individual Philosophers </t>
  </si>
  <si>
    <t>B2844.W53 E5 1992eb</t>
  </si>
  <si>
    <t>Knowledge, Theory of.,Philosophy.</t>
  </si>
  <si>
    <t>Fichte, Johann Gottlieb-Breazeale, Daniel</t>
  </si>
  <si>
    <t>Shakespeare Reread</t>
  </si>
  <si>
    <t>The Texts in New Contexts</t>
  </si>
  <si>
    <t>PR2976 .S3383 1994eb</t>
  </si>
  <si>
    <t>McDonald, Russ</t>
  </si>
  <si>
    <t>The Utopian Alternative</t>
  </si>
  <si>
    <t>Fourierism in Nineteenth-Century America</t>
  </si>
  <si>
    <t>HX654 .G82 1991</t>
  </si>
  <si>
    <t>Collective settlements--United States--History--19th century.,Utopian socialism--United States--History--19th century.</t>
  </si>
  <si>
    <t>Guarneri, Carl</t>
  </si>
  <si>
    <t>A Moment's Notice</t>
  </si>
  <si>
    <t>Time Politics Across Culture</t>
  </si>
  <si>
    <t>GN492.2 .G74 1996</t>
  </si>
  <si>
    <t>Political anthropology.,Time--Social aspects.</t>
  </si>
  <si>
    <t>Greenhouse, Carol J.</t>
  </si>
  <si>
    <t>Postcolonial Representations</t>
  </si>
  <si>
    <t>Women, Literature, Identity</t>
  </si>
  <si>
    <t>LITERARY CRITICISM / Feminist</t>
  </si>
  <si>
    <t>PN471 .L57 1995eb</t>
  </si>
  <si>
    <t>Feminism and literature--History--20th century.,Group identity in literature.,Literature, Modern--20th century--History and criticism.,Literature--Women authors--History and criticism.,Postcolonialism in literature.,Women and literature--History--20th century.</t>
  </si>
  <si>
    <t>Lionnet, FrancÌ§oise.</t>
  </si>
  <si>
    <t>Reading Women Writing</t>
  </si>
  <si>
    <t>The Mirror of Antiquity</t>
  </si>
  <si>
    <t>American Women and the Classical Tradition, 1750â€“1900</t>
  </si>
  <si>
    <t>HQ1418 .W56 2007eb</t>
  </si>
  <si>
    <t>Classical education--United States--History--18th century.,Classical education--United States--History--19th century.,Classicism--United States--History--18th century.,Classicism--United States--History--19th century.,Upper class women--United States--Intellectual life--18th century.,Upper class women--United States--Intellectual life--19th century.,Women classicists--United States--History--18th century.,Women classicists--United States--History--19th century.</t>
  </si>
  <si>
    <t>Winterer, Caroline</t>
  </si>
  <si>
    <t>Failure to Protect</t>
  </si>
  <si>
    <t>America's Sexual Predator Laws and the Rise of the Preventive State</t>
  </si>
  <si>
    <t>LAW / Criminal Law / General</t>
  </si>
  <si>
    <t>KF9325 .J36 2006eb</t>
  </si>
  <si>
    <t>Civil commitment of sex offenders--United States.,Preventive detention--United States.,Sex crimes--United States.,Sex offenders--Legal status, laws, etc.--United States.</t>
  </si>
  <si>
    <t>Janus, Eric S.</t>
  </si>
  <si>
    <t>Sexing the Citizen</t>
  </si>
  <si>
    <t>Morality and Masculinity in France, 1870â€“1920</t>
  </si>
  <si>
    <t>HQ1090.7.F8 S87 2006eb</t>
  </si>
  <si>
    <t>Citizenship--France--History.,Marriage--Moral and ethical aspects--France--History.,Marriage--Political aspects--France--History.,Masculinity--Moral and ethical aspects--France--History.,Masculinity--Political aspects--France--History.,Sex role--Moral and ethical aspects--France--History.,Sex role--Political aspects--France--History.</t>
  </si>
  <si>
    <t>Surkis, Judith</t>
  </si>
  <si>
    <t>Unequal Partners</t>
  </si>
  <si>
    <t>Charles Dickens, Wilkie Collins, and Victorian Authorship</t>
  </si>
  <si>
    <t>PR4586 .N39 2001eb</t>
  </si>
  <si>
    <t>Publishers and publishing--Great Britain--History--19th century.</t>
  </si>
  <si>
    <t>Nayder, Lillian</t>
  </si>
  <si>
    <t>Sunbelt Working Mothers</t>
  </si>
  <si>
    <t>Reconciling Family and Factory</t>
  </si>
  <si>
    <t>HQ759.48 .L37 1993</t>
  </si>
  <si>
    <t>Work and family--Sunbelt States.,Working mothers--Sunbelt States.</t>
  </si>
  <si>
    <t>Lamphere, Louise.-Zavella, Patricia.-Gonzales, Felipe-Evans, Peter B.</t>
  </si>
  <si>
    <t>Cornell Paperbacks</t>
  </si>
  <si>
    <t>Talk of the Nation</t>
  </si>
  <si>
    <t>Language and Conflict in Romania and Slovakia</t>
  </si>
  <si>
    <t>POLITICAL SCIENCE / Political Ideologies / Democracy</t>
  </si>
  <si>
    <t>P119.32.R6 C74 2007eb</t>
  </si>
  <si>
    <t>Anthropological linguistics--Romania.,Anthropological linguistics--Slovakia.,Linguistic minorities--Romania.,Linguistic minorities--Slovakia.,Post-communism--Social aspects--Romania.,Post-communism--Social aspects--Slovakia.</t>
  </si>
  <si>
    <t>Csergo, Zsuzsa.</t>
  </si>
  <si>
    <t>Laughing Matters</t>
  </si>
  <si>
    <t>Farce and the Making of Absolutism in France</t>
  </si>
  <si>
    <t>PQ584 .B43 2007</t>
  </si>
  <si>
    <t>French drama--16th century--History and criticism.,French drama--17th century--History and criticism.,French farces--History and criticism.,Theater--Political aspects--France--History--16th century.,Theater--Political aspects--France--History--17th century.</t>
  </si>
  <si>
    <t>Beam, Sara</t>
  </si>
  <si>
    <t>ACLS Humanities E-Book (Series)</t>
  </si>
  <si>
    <t>Policing Paris</t>
  </si>
  <si>
    <t>The Origins of Modern Immigration Control Between the Wars</t>
  </si>
  <si>
    <t>JV7995.P37 R67 2006eb</t>
  </si>
  <si>
    <t>Aliens--France--Paris--History--20th century.,Citizenship--France--Paris--History--20th century.,Immigrants--France--Paris--History--20th century.,Police--France--Paris--History--20th century.</t>
  </si>
  <si>
    <t>Rosenberg, Clifford D.</t>
  </si>
  <si>
    <t>The House in the Garden</t>
  </si>
  <si>
    <t>The Bakunin Family and the Romance of Russian Idealism</t>
  </si>
  <si>
    <t>HQ637</t>
  </si>
  <si>
    <t>Families--Russia--Philosophy--History--19th century.,Idealism, Russian--History--19th century.</t>
  </si>
  <si>
    <t>Randolph, John</t>
  </si>
  <si>
    <t>The Self in Moral Space</t>
  </si>
  <si>
    <t>Life Narrative and the Good</t>
  </si>
  <si>
    <t>LITERARY CRITICISM / Semiotics &amp; Theory</t>
  </si>
  <si>
    <t>CT25 .P37 2007eb</t>
  </si>
  <si>
    <t>Autobiography--Moral and ethical aspects.,Identity (Psychology)--Moral and ethical aspects.</t>
  </si>
  <si>
    <t>Parker, David</t>
  </si>
  <si>
    <t>Scepticism, Knowledge, and Forms of Reasoning</t>
  </si>
  <si>
    <t>PHILOSOPHY / Epistemology</t>
  </si>
  <si>
    <t>B837 .K66 2005eb</t>
  </si>
  <si>
    <t>Epistemics.,Knowledge, Theory of.,Reasoning.,Skepticism.</t>
  </si>
  <si>
    <t>Koethe, John</t>
  </si>
  <si>
    <t>Contradiction in Motion</t>
  </si>
  <si>
    <t>Hegel's Organic Concept of Life and Value</t>
  </si>
  <si>
    <t>B2949.C64 H34 2007eb</t>
  </si>
  <si>
    <t>Contradiction.</t>
  </si>
  <si>
    <t>Hahn, Songsuk Susan.</t>
  </si>
  <si>
    <t>Chasing the American Dream</t>
  </si>
  <si>
    <t>New Perspectives on Affordable Homeownership</t>
  </si>
  <si>
    <t>SOCIAL SCIENCE / Sociology / Urban</t>
  </si>
  <si>
    <t>HD7287.96.U6 C43 2007eb</t>
  </si>
  <si>
    <t>Home ownership--United States.,Low-income housing--United States.</t>
  </si>
  <si>
    <t>Rohe, William M.-Watson, Harry L.</t>
  </si>
  <si>
    <t>Consumer Capitalism</t>
  </si>
  <si>
    <t>Politics, Product Markets, and Firm Strategy in France and Germany</t>
  </si>
  <si>
    <t>HC280.C63 T78 2006eb</t>
  </si>
  <si>
    <t>Capitalism--France.,Capitalism--Germany.,Consumer protection--France.,Consumer protection--Germany.,Consumption (Economics)--France.,Consumption (Economics)--Germany.,Product management--France.,Product management--Germany.</t>
  </si>
  <si>
    <t>Trumbull, Gunnar.</t>
  </si>
  <si>
    <t>Murder After Death</t>
  </si>
  <si>
    <t>Literature and Anatomy in Early Modern England</t>
  </si>
  <si>
    <t>PR428.H78 S84 2007</t>
  </si>
  <si>
    <t>English literature--Early modern, 1500-1700--History and criticism.,Human anatomy in literature.,Human dissection in literature.,Literary anatomies.</t>
  </si>
  <si>
    <t>Sugg, Richard</t>
  </si>
  <si>
    <t>From Hire to Liar</t>
  </si>
  <si>
    <t>The Role of Deception in the Workplace</t>
  </si>
  <si>
    <t>HF5387 .S553 2007eb</t>
  </si>
  <si>
    <t>Business ethics.,Deception.,Organizational behavior.,Private investigators.,Work ethic.</t>
  </si>
  <si>
    <t>Shulman, David</t>
  </si>
  <si>
    <t>Crafting Democracy</t>
  </si>
  <si>
    <t>How Novgorod Has Coped with Rapid Social Change</t>
  </si>
  <si>
    <t>JS6117.9.N675 P48 2004</t>
  </si>
  <si>
    <t>Democracy--Russia (Federation)--Novgorod.,Local government--Russia (Federation)--Novgorod.,Social change--Russia (Federation)--Novgorod.</t>
  </si>
  <si>
    <t>Petro, Nicolai N.</t>
  </si>
  <si>
    <t>Orientalism and the Hebrew Imagination</t>
  </si>
  <si>
    <t>LITERARY CRITICISM / Jewish</t>
  </si>
  <si>
    <t>PJ5012.O75 P45 2005eb</t>
  </si>
  <si>
    <t>Hebrew literature, Modern--20th century--History and criticism.,Jewish-Arab relations in literature.,Orientalism in literature.,Zionism.</t>
  </si>
  <si>
    <t>Peleg, Yaron.</t>
  </si>
  <si>
    <t>Protectors of Privacy</t>
  </si>
  <si>
    <t>Regulating Personal Data in the Global Economy</t>
  </si>
  <si>
    <t>KJE6071 .N49 2008</t>
  </si>
  <si>
    <t>Data protection--Law and legislation--European Union countries.,Globalization--Economic aspects--Europe.,Privacy, Right of--European Union countries.</t>
  </si>
  <si>
    <t>Newman, Abraham</t>
  </si>
  <si>
    <t>Drawing Distinctions</t>
  </si>
  <si>
    <t>The Varieties of Graphic Expression</t>
  </si>
  <si>
    <t>PHILOSOPHY / Aesthetics</t>
  </si>
  <si>
    <t>NC703 .M33 2005</t>
  </si>
  <si>
    <t>Drawing--Philosophy.,Drawing--Technique.</t>
  </si>
  <si>
    <t>Maynard, Patrick</t>
  </si>
  <si>
    <t>Fatal Desire</t>
  </si>
  <si>
    <t>Women, Sexuality, and the English Stage, 1660â€“1720</t>
  </si>
  <si>
    <t>PR698.W6 M27 2006eb</t>
  </si>
  <si>
    <t>English drama (Tragedy)--History and criticism.,English drama--Restoration, 1660-1700--History and criticism.,Literature and society--England--History--17th century.,Sex role in literature.,Women and literature--England--History--17th century.,Women in the theater--England--History--17th century.</t>
  </si>
  <si>
    <t>Marsden, Jean I.</t>
  </si>
  <si>
    <t>Negotiating the Constitution</t>
  </si>
  <si>
    <t>The Earliest Debates Over Original Intent</t>
  </si>
  <si>
    <t>HISTORY / United States / Revolutionary Period (1775-1800)</t>
  </si>
  <si>
    <t>KF4510 .L96 1999</t>
  </si>
  <si>
    <t>Constitutional history--United States.</t>
  </si>
  <si>
    <t>Lynch, Joseph M.</t>
  </si>
  <si>
    <t>Sung Birds</t>
  </si>
  <si>
    <t>Music, Nature, and Poetry in the Later Middle Ages</t>
  </si>
  <si>
    <t>MUSIC / History &amp; Criticism</t>
  </si>
  <si>
    <t>ML190 .L43 2007eb</t>
  </si>
  <si>
    <t>Birds--Songs and music--History and criticism.,Music--500-1400--History and criticism.,Nature in music.,Poetry, Medieval--History and criticism.</t>
  </si>
  <si>
    <t>Leach, Elizabeth Eva</t>
  </si>
  <si>
    <t>Unexpected Power</t>
  </si>
  <si>
    <t>Conflict and Change Among Transnational Activists</t>
  </si>
  <si>
    <t>POLITICAL SCIENCE / Human Rights</t>
  </si>
  <si>
    <t>JC571 .H443 2006eb</t>
  </si>
  <si>
    <t>Human rights advocacy--Cross-cultural studies.,Human rights--Societies, etc.,Pressure groups--Cross-cultural studies.</t>
  </si>
  <si>
    <t>Hertel, Shareen.</t>
  </si>
  <si>
    <t>Moving Up in the New Economy</t>
  </si>
  <si>
    <t>Career Ladders for U.S. Workers</t>
  </si>
  <si>
    <t>BUSINESS &amp; ECONOMICS / Labor</t>
  </si>
  <si>
    <t>HF5382.5.U5 F54 2006</t>
  </si>
  <si>
    <t>Career development--United States.,Occupational mobility--United States.,Occupational training--United States.</t>
  </si>
  <si>
    <t>Fitzgerald, Joan</t>
  </si>
  <si>
    <t>A Century Foundation Book Ser</t>
  </si>
  <si>
    <t>Citizens Without Shelter</t>
  </si>
  <si>
    <t>Homelessness, Democracy, and Political Exclusion</t>
  </si>
  <si>
    <t>SOCIAL SCIENCE / Poverty &amp; Homelessness</t>
  </si>
  <si>
    <t>HV4505 .F45 2004</t>
  </si>
  <si>
    <t>Homelessness--United States.</t>
  </si>
  <si>
    <t>Feldman, Leonard C.</t>
  </si>
  <si>
    <t>Disability Rights and the American Social Safety Net</t>
  </si>
  <si>
    <t>HD7105.25.U6 E75 2006eb</t>
  </si>
  <si>
    <t>Disability insurance--United States.,Disability retirement--United States.,People with disabilities--Legal status, laws, etc.--United States.,Social security--United States.,Supplemental security income program--United States.</t>
  </si>
  <si>
    <t>Erkulwater, Jennifer L.</t>
  </si>
  <si>
    <t>Ovid's Art and the Wife of Bath</t>
  </si>
  <si>
    <t>The Ethics of Erotic Violence</t>
  </si>
  <si>
    <t>LITERARY CRITICISM / Medieval</t>
  </si>
  <si>
    <t>PN681.5 .D47 2006eb</t>
  </si>
  <si>
    <t>Literature, Medieval--History and criticism.,Literature, Medieval--Roman influences.,Sadomasochism in literature.</t>
  </si>
  <si>
    <t>Desmond, Marilynn</t>
  </si>
  <si>
    <t>Planets on Tables</t>
  </si>
  <si>
    <t>Poetry, Still Life, and the Turning World</t>
  </si>
  <si>
    <t>PS323.5 .C67 2008</t>
  </si>
  <si>
    <t>American poetry--20th century--History and criticism.,History, Modern, in art.,History, Modern, in literature.,Still-life in art.,Still-life in literature.</t>
  </si>
  <si>
    <t>Costello, Bonnie.</t>
  </si>
  <si>
    <t>The Novel of Purpose</t>
  </si>
  <si>
    <t>Literature and Social Reform in the Anglo-American World</t>
  </si>
  <si>
    <t>PR778.S62 C57 2007</t>
  </si>
  <si>
    <t>American fiction--19th century--History and criticism.,English fiction--19th century--History and criticism.,Literature and society--Great Britain--History--19th century.,Literature and society--United States--History--19th century.,Social movements in literature.,Social problems in literature.</t>
  </si>
  <si>
    <t>Claybaugh, Amanda.</t>
  </si>
  <si>
    <t>The Deceivers</t>
  </si>
  <si>
    <t>Art Forgery and Identity in the Nineteenth Century</t>
  </si>
  <si>
    <t>LITERARY CRITICISM / Modern / 19th Century</t>
  </si>
  <si>
    <t>PN3352.F67 B75 2006</t>
  </si>
  <si>
    <t>Art and society--History--19th century.,Art--Forgeries--History--19th century.,Authenticity (Philosophy) in literature.,Fiction--19th century--History and criticism.,Forgery in literature.,Identity (Philosophical concept) in literature.</t>
  </si>
  <si>
    <t>Briefel, Aviva.</t>
  </si>
  <si>
    <t>Communities of Memory</t>
  </si>
  <si>
    <t>On Witness, Identity, and Justice</t>
  </si>
  <si>
    <t>BD181.7 .B66 2006eb</t>
  </si>
  <si>
    <t>Identity politics.,Justice (Philosophy),Memory (Philosophy),Memory--Political aspects.</t>
  </si>
  <si>
    <t>Booth, William James.</t>
  </si>
  <si>
    <t>Shakespeare and the Mismeasure of Renaissance Man</t>
  </si>
  <si>
    <t>PR3069.M43 B57 2006eb</t>
  </si>
  <si>
    <t>Anthropometry in literature.,Measurement in literature.</t>
  </si>
  <si>
    <t>Blank, Paula</t>
  </si>
  <si>
    <t>The Culture of Cleanliness in Renaissance Italy</t>
  </si>
  <si>
    <t>RA780 .B56 2006eb</t>
  </si>
  <si>
    <t>Hygiene in literature.,Hygiene--Italy--History--15th century.,Hygiene--Italy--History--16th century.</t>
  </si>
  <si>
    <t>Biow, Douglas.</t>
  </si>
  <si>
    <t>Creole Crossings</t>
  </si>
  <si>
    <t>Domestic Fiction and the Reform of Colonial Slavery</t>
  </si>
  <si>
    <t>PN3426.C74 B47 2005eb</t>
  </si>
  <si>
    <t>Antislavery movements in literature.,Creoles in literature.,Domestic fiction--History and criticism.,Slavery in literature.</t>
  </si>
  <si>
    <t>Berman, Carolyn Vellenga.</t>
  </si>
  <si>
    <t>Owning Russia</t>
  </si>
  <si>
    <t>The Struggle Over Factories, Farms, and Power</t>
  </si>
  <si>
    <t>HC340.12 .B39 2006eb</t>
  </si>
  <si>
    <t>Privatization--Russia (Federation),Property--Russia (Federation),Real property--Russia (Federation),Wealth--Russia (Federation)</t>
  </si>
  <si>
    <t>Barnes, Andrew Scott</t>
  </si>
  <si>
    <t>The Social Sources of Financial Power</t>
  </si>
  <si>
    <t>Domestic Legitimacy and International Financial Orders</t>
  </si>
  <si>
    <t>HG3881 .S395 2006eb</t>
  </si>
  <si>
    <t>Economic assistance, Domestic--Political aspects.,Economic policy--Social aspects.,Economics--Sociological aspects.,International finance--Political aspects.,International finance--Social aspects.,Legitimacy of governments.</t>
  </si>
  <si>
    <t>Seabrooke, Leonard</t>
  </si>
  <si>
    <t>One World of Welfare</t>
  </si>
  <si>
    <t>Japan in Comparative Perspective</t>
  </si>
  <si>
    <t>HV413 .K33 2006eb</t>
  </si>
  <si>
    <t>Public welfare--Japan.,Welfare state--Japan.</t>
  </si>
  <si>
    <t>Kasza, Gregory James.</t>
  </si>
  <si>
    <t>Iphigenias at Aulis</t>
  </si>
  <si>
    <t>Textual Multiplicity, Radical Philology</t>
  </si>
  <si>
    <t>LITERARY CRITICISM / Ancient &amp; Classical</t>
  </si>
  <si>
    <t>PA3973.I7 G87 2005eb</t>
  </si>
  <si>
    <t>Gurd, Sean Alexander</t>
  </si>
  <si>
    <t>Proust's Lesbianism</t>
  </si>
  <si>
    <t>PQ2631.R63 A82765 1999</t>
  </si>
  <si>
    <t>Homosexuality and literature--France--History--19th century.,Homosexuality in literature.,Lesbians in literature.</t>
  </si>
  <si>
    <t>Ladenson, Elisabeth.</t>
  </si>
  <si>
    <t>The Two Intellectual Worlds of John Locke</t>
  </si>
  <si>
    <t>Man, Person, and Spirits in the "Essay"</t>
  </si>
  <si>
    <t>B1294 .Y66 2004eb</t>
  </si>
  <si>
    <t>Knowledge, Theory of--History--17th century.</t>
  </si>
  <si>
    <t>Yolton, John W.</t>
  </si>
  <si>
    <t>Firm Interests</t>
  </si>
  <si>
    <t>How Governments Shape Business Lobbying on Global Trade</t>
  </si>
  <si>
    <t>HF1713 .W653 2008eb</t>
  </si>
  <si>
    <t>Business and politics.,Corporations--Political activity.,Free trade.,International trade.,Lobbying.,Service industries.,Trade regulation.</t>
  </si>
  <si>
    <t>Woll, Cornelia</t>
  </si>
  <si>
    <t>The Cinema of Globalization</t>
  </si>
  <si>
    <t>A Guide to Films About the New Economic Order</t>
  </si>
  <si>
    <t>PERFORMING ARTS / Film / Guides &amp; Reviews</t>
  </si>
  <si>
    <t>PN1995.9.G59 Z36 2007eb</t>
  </si>
  <si>
    <t>Globalization in motion pictures.</t>
  </si>
  <si>
    <t>Zaniello, Tom</t>
  </si>
  <si>
    <t>Passion and Order</t>
  </si>
  <si>
    <t>Restraint of Grief in the Medieval Italian Communes</t>
  </si>
  <si>
    <t>HISTORY / Europe / Medieval</t>
  </si>
  <si>
    <t>GT3390.5.I8 L36 2008eb</t>
  </si>
  <si>
    <t>Burial laws--Italy, Northern--History--To 1500.,Emotions--Political aspects--Italy, Northern--History--To 1500.,Grief--Political aspects--Italy, Northern--History--To 1500.,Mourning customs--Italy, Northern--History--To 1500.</t>
  </si>
  <si>
    <t>Lansing, Carol</t>
  </si>
  <si>
    <t>Conjunctions of Religion and Power in the Medieval Past</t>
  </si>
  <si>
    <t>A Certain Idea of Europe</t>
  </si>
  <si>
    <t>JN30 .P38 2003eb</t>
  </si>
  <si>
    <t>Parsons, Craig</t>
  </si>
  <si>
    <t>The Rules of Play</t>
  </si>
  <si>
    <t>National Identity and the Shaping of Japanese Leisure</t>
  </si>
  <si>
    <t>GV125 .L43 2003eb</t>
  </si>
  <si>
    <t>Leisure--Economic aspects--Japan.,Leisure--Government policy--Japan.</t>
  </si>
  <si>
    <t>Leheny, David Richard</t>
  </si>
  <si>
    <t>Republic of Labor</t>
  </si>
  <si>
    <t>Russian Printers and Soviet Socialism, 1918â€“1930</t>
  </si>
  <si>
    <t>HD8526 .K59 2005</t>
  </si>
  <si>
    <t>Industrial relations--Soviet Union--History.,Labor--Soviet Union--History.,Printers--Labor unions--Soviet Union--History.,Printing industry--Soviet Union--History.,Working class--Soviet Union--History.</t>
  </si>
  <si>
    <t>Koenker, Diane</t>
  </si>
  <si>
    <t>The New Structure of Labor Relations</t>
  </si>
  <si>
    <t>Tripartism and Decentralization</t>
  </si>
  <si>
    <t>HD6971.5 .N49 2004eb</t>
  </si>
  <si>
    <t>Collective bargaining--Cross-cultural studies.,Industrial relations--Cross-cultural studies.</t>
  </si>
  <si>
    <t>Katz, Harry C.-Yi, WoÌ†n-doÌ†k-Yi, Chu-huÌ†i</t>
  </si>
  <si>
    <t>The Truce</t>
  </si>
  <si>
    <t>Lessons From an L.A. Gang War</t>
  </si>
  <si>
    <t>HV6439.U7 L777 2006</t>
  </si>
  <si>
    <t>Ethnic conflict--California--Los Angeles.,Gangs--California--Los Angeles.</t>
  </si>
  <si>
    <t>Umemoto, Karen.</t>
  </si>
  <si>
    <t>Discriminating Risk</t>
  </si>
  <si>
    <t>The U.S. Mortgage Lending Industry in the Twentieth Century</t>
  </si>
  <si>
    <t>HG2040.5.U5 S747 2003eb</t>
  </si>
  <si>
    <t>Discrimination in housing--Illinois--Chicago.,Discrimination in housing--United States.,Mortgage loans--United States.,Race discrimination--United States.</t>
  </si>
  <si>
    <t>Stuart, Guy</t>
  </si>
  <si>
    <t>Ritual Imports</t>
  </si>
  <si>
    <t>Performing Medieval Drama in America</t>
  </si>
  <si>
    <t>PN1751 .S66 2004</t>
  </si>
  <si>
    <t>Drama, Medieval--History and criticism.,Performing arts--United States.</t>
  </si>
  <si>
    <t>Sponsler, Claire.</t>
  </si>
  <si>
    <t>Schools of Democracy</t>
  </si>
  <si>
    <t>A Political History of the American Labor Movement</t>
  </si>
  <si>
    <t>HD8066 .S53 2006eb</t>
  </si>
  <si>
    <t>Labor movement--United States--History.,Labor policy--United States--History.,Labor unions--Political activity--United States--History.</t>
  </si>
  <si>
    <t>Sinyai, Clayton.</t>
  </si>
  <si>
    <t>Jean-Jacques Rousseau</t>
  </si>
  <si>
    <t>A Friend of Virtue</t>
  </si>
  <si>
    <t>B2138.E8 R45 2003eb</t>
  </si>
  <si>
    <t>Ethics, Modern--18th century.,Virtue--History--18th century.</t>
  </si>
  <si>
    <t>Reisert, Joseph R.</t>
  </si>
  <si>
    <t>Partisan Interventions</t>
  </si>
  <si>
    <t>European Party Politics and Peace Enforcement in the Balkans</t>
  </si>
  <si>
    <t>POLITICAL SCIENCE / Security (National &amp; International)</t>
  </si>
  <si>
    <t>JZ1570 .R37 2004</t>
  </si>
  <si>
    <t>Humanitarian intervention--Balkan Peninsula.,Peacekeeping forces--Balkan Peninsula.,Political parties--European Union countries--Influence.,Yugoslav War, 1991-1995--Peace.</t>
  </si>
  <si>
    <t>Rathbun, Brian C.</t>
  </si>
  <si>
    <t>Working Construction</t>
  </si>
  <si>
    <t>Why White Working-Class Men Put Themselvesâ€”and the Labor Movementâ€”in Harm's Way</t>
  </si>
  <si>
    <t>HD8039.B892 U66 2006</t>
  </si>
  <si>
    <t>Construction industry--United States--Safety measures.,Construction workers--United States--Attitudes.,Masculinity--United States.,Men, White--United States--Attitudes.,Working class men--United States--Attitudes.</t>
  </si>
  <si>
    <t>Paap, Kris</t>
  </si>
  <si>
    <t>Dreams of the Burning Child</t>
  </si>
  <si>
    <t>Sacrificial Sons and the Father's Witness</t>
  </si>
  <si>
    <t>LITERARY CRITICISM / Subjects &amp; Themes / General</t>
  </si>
  <si>
    <t>PN56.F37 M55 2003</t>
  </si>
  <si>
    <t>Child sacrifice.,Death in literature.,Fathers and sons in literature.,Literature--History and criticism.</t>
  </si>
  <si>
    <t>Miller, David Lee</t>
  </si>
  <si>
    <t>Notes From Toyota-land</t>
  </si>
  <si>
    <t>An American Engineer in Japan</t>
  </si>
  <si>
    <t>BIOGRAPHY &amp; AUTOBIOGRAPHY / Personal Memoirs</t>
  </si>
  <si>
    <t>HD9710.J32 M43 2005eb</t>
  </si>
  <si>
    <t>Automobile industry and trade--Japan--Management.,Corporate culture--Japan.,Industrial relations--Japan.,Work environment--Japan.</t>
  </si>
  <si>
    <t>Mehri, Darius.</t>
  </si>
  <si>
    <t>Russia at Play</t>
  </si>
  <si>
    <t>Leisure Activities at the End of the Tsarist Era</t>
  </si>
  <si>
    <t>GV93 .M38 2003eb</t>
  </si>
  <si>
    <t>Leisure--Russia--History.,Middle class--Recreation--Russia--History.</t>
  </si>
  <si>
    <t>McReynolds, Louise</t>
  </si>
  <si>
    <t>The Unraveling of Scientism</t>
  </si>
  <si>
    <t>American Philosophy at the End of the Twentieth Century</t>
  </si>
  <si>
    <t>PHILOSOPHY / History &amp; Surveys / Modern</t>
  </si>
  <si>
    <t>B944.A53 M27 2003eb</t>
  </si>
  <si>
    <t>Analysis (Philosophy)--United States--History--20th century.,Philosophy, American--20th century.</t>
  </si>
  <si>
    <t>Margolis, Joseph</t>
  </si>
  <si>
    <t>Ã‰dith Thomas</t>
  </si>
  <si>
    <t>A Passion for Resistance</t>
  </si>
  <si>
    <t>BIOGRAPHY &amp; AUTOBIOGRAPHY / Women</t>
  </si>
  <si>
    <t>PQ2639.H56 Z735 2004</t>
  </si>
  <si>
    <t>Authors, French--20th century--Biography.</t>
  </si>
  <si>
    <t>Kaufmann, Dorothy.</t>
  </si>
  <si>
    <t>Democracy's Voices</t>
  </si>
  <si>
    <t>Social Ties and the Quality of Public Life in Spain</t>
  </si>
  <si>
    <t>JN8341.F58 2004</t>
  </si>
  <si>
    <t>Democracy--Spain.,Intellectuals--Spain.,Labor leaders--Spain.,Political participation--Spain.,Social networks--Spain.</t>
  </si>
  <si>
    <t>Fishman, Robert M.</t>
  </si>
  <si>
    <t>Fiction's Overcoat</t>
  </si>
  <si>
    <t>Russian Literary Culture and the Question of Philosophy</t>
  </si>
  <si>
    <t>B4231 .C57 2004eb</t>
  </si>
  <si>
    <t>Philosophy, Russian--19th century.,Philosophy, Russian--20th century.</t>
  </si>
  <si>
    <t>Clowes, Edith W.</t>
  </si>
  <si>
    <t>Fathers, Families, and the State in France, 1914â€“1945</t>
  </si>
  <si>
    <t>HQ756 .C467 2003eb</t>
  </si>
  <si>
    <t>Families--France--History--20th century.,Family policy--France--History--20th century.,Fathers--France--History--20th century.</t>
  </si>
  <si>
    <t>Childers, Kristen Stromberg</t>
  </si>
  <si>
    <t>Isolated Cases</t>
  </si>
  <si>
    <t>The Anxieties of Autonomy in Enlightenment Philosophy and Romantic Literature</t>
  </si>
  <si>
    <t>PR457 .Y68 2004eb</t>
  </si>
  <si>
    <t>Anxiety in literature.,Autonomy (Philosophy),Autonomy (Psychology) in literature.,English literature--19th century--History and criticism.,English literature--French influences.,Enlightenment.,Isolation (Philosophy),Philosophy in literature.,Philosophy, Modern--18th century.,Philosophy, Modern--19th century.,Romanticism--Great Britain.</t>
  </si>
  <si>
    <t>Yousef, Nancy.</t>
  </si>
  <si>
    <t>Differences That Matter</t>
  </si>
  <si>
    <t>Social Policy and the Working Poor in the United States and Canada</t>
  </si>
  <si>
    <t>HC110.P6 Z83 2006</t>
  </si>
  <si>
    <t>Poverty--Government policy--Canada.,Poverty--Government policy--United States.,Public welfare--Canada.,Public welfare--United States.,Working poor--Canada.,Working poor--United States.</t>
  </si>
  <si>
    <t>Zuberi, Dan.</t>
  </si>
  <si>
    <t>Diamond Stories</t>
  </si>
  <si>
    <t>Enduring Change on 47th Street</t>
  </si>
  <si>
    <t>HD9677.U53 N77 2002eb</t>
  </si>
  <si>
    <t>Diamond industry and trade--New York (State)--New York--History.,Jewish businesspeople--New York (State)--New York--History.,Jews in the diamond industry--New York (State)--New York--History.</t>
  </si>
  <si>
    <t>Shield, ReneÌe Rose.</t>
  </si>
  <si>
    <t>Anthropology of Contemporary Issues</t>
  </si>
  <si>
    <t>Winners and Losers</t>
  </si>
  <si>
    <t>How Sectors Shape the Developmental Prospects of States</t>
  </si>
  <si>
    <t>HC59.7 .S4462 1994eb</t>
  </si>
  <si>
    <t>Industries--Developing countries--Case studies.</t>
  </si>
  <si>
    <t>Shafer, D. Michael</t>
  </si>
  <si>
    <t>The Word Made Self</t>
  </si>
  <si>
    <t>Russian Writings on Language, 1860â€“1930</t>
  </si>
  <si>
    <t>P107 .S45 2005</t>
  </si>
  <si>
    <t>Language and languages--Philosophy.,Philosophy, Russian--History.</t>
  </si>
  <si>
    <t>Seifrid, Thomas.</t>
  </si>
  <si>
    <t>Stranger in Our Midst</t>
  </si>
  <si>
    <t>Images of the Jew in Polish Literature</t>
  </si>
  <si>
    <t>LITERARY CRITICISM / European / Eastern</t>
  </si>
  <si>
    <t>PG7445.E1 S77 1996</t>
  </si>
  <si>
    <t>Jews--Poland--Literary collections.,Polish literature--Translations into English.</t>
  </si>
  <si>
    <t>Segel, Harold B.</t>
  </si>
  <si>
    <t>Electra After Freud</t>
  </si>
  <si>
    <t>Myth and Culture</t>
  </si>
  <si>
    <t>PT345 .S356 2005eb</t>
  </si>
  <si>
    <t>German literature--19th century--History and criticism.,German literature--20th century--History and criticism.,Psychoanalysis in literature.</t>
  </si>
  <si>
    <t>Scott, Jill</t>
  </si>
  <si>
    <t>Cornell Studies in the History of Psychiatry</t>
  </si>
  <si>
    <t>Reasoned Freedom</t>
  </si>
  <si>
    <t>John Locke and Enlightenment</t>
  </si>
  <si>
    <t>B1297 .S295 1992</t>
  </si>
  <si>
    <t>Education--Philosophy--History--17th century.,Liberty--History--17th century.</t>
  </si>
  <si>
    <t>Schouls, Peter A.</t>
  </si>
  <si>
    <t>Mazes of the Serpent</t>
  </si>
  <si>
    <t>An Anatomy of Horror Narrative</t>
  </si>
  <si>
    <t>PS374.H67 S36 2002eb</t>
  </si>
  <si>
    <t>Horror tales, American--History and criticism.,Horror tales, English--History and criticism.,Narration (Rhetoric),Popular literature--English-speaking countries--History and criticism.</t>
  </si>
  <si>
    <t>Salomon, Roger B.</t>
  </si>
  <si>
    <t>The Power of Everyday Politics</t>
  </si>
  <si>
    <t>How Vietnamese Peasants Transformed National Policy</t>
  </si>
  <si>
    <t>POLITICAL SCIENCE / Public Policy / Agriculture &amp; Food Policy</t>
  </si>
  <si>
    <t>HD1492.V5 K47 2005</t>
  </si>
  <si>
    <t>Agriculture and state--Vietnam.,Collectivization of agriculture--Vietnam.,Peasants--Vietnam.</t>
  </si>
  <si>
    <t>Kerkvliet, Benedict J.</t>
  </si>
  <si>
    <t>ACLS Humanities E-Book</t>
  </si>
  <si>
    <t>Building Democracy in Contemporary Russia</t>
  </si>
  <si>
    <t>Western Support for Grassroots Organizations</t>
  </si>
  <si>
    <t>JN6699.A15 H46 2003eb</t>
  </si>
  <si>
    <t>Civil society--Russia (Federation),Democracy--Russia (Federation),Economic assistance--Russia (Federation),Non-governmental organizations--Russia (Federation)</t>
  </si>
  <si>
    <t>Henderson, Sarah</t>
  </si>
  <si>
    <t>The Making of National Money</t>
  </si>
  <si>
    <t>Territorial Currencies in Historical Perspective</t>
  </si>
  <si>
    <t>HG221 .H4855 2003eb</t>
  </si>
  <si>
    <t>Currency question.,Money.,Money--Political aspects.</t>
  </si>
  <si>
    <t>Helleiner, Eric</t>
  </si>
  <si>
    <t>Gender and Class in Modern Europe</t>
  </si>
  <si>
    <t>HISTORY / Europe / General</t>
  </si>
  <si>
    <t>HD6134 .C58 1996</t>
  </si>
  <si>
    <t>Women--Employment--Europe--History--Case studies.,Working class--Europe--History--Case studies.</t>
  </si>
  <si>
    <t>Frader, Laura Levine-Rose, Sonya O.</t>
  </si>
  <si>
    <t>Literary Character</t>
  </si>
  <si>
    <t>The Human Figure in Early English Writing</t>
  </si>
  <si>
    <t>PR275.C42 F69 2003eb</t>
  </si>
  <si>
    <t>Characters and characteristics in literature.,English literature--Early modern, 1500-1700--History and criticism.,English literature--Middle English, 1100-1500--History and criticism.,Human beings in literature.,Literature and society--England--History--16th century.,Literature and society--England--History--To 1500.</t>
  </si>
  <si>
    <t>Fowler, Elizabeth</t>
  </si>
  <si>
    <t>Not for Bread Alone</t>
  </si>
  <si>
    <t>RA971.35 .F66 2002</t>
  </si>
  <si>
    <t>Hospitals--Employees--Labor unions--New York (State)--History.,Labor leaders--New York (State)--Biography.</t>
  </si>
  <si>
    <t>Foner, Moe-North, Dan</t>
  </si>
  <si>
    <t>Seeing Chekhov</t>
  </si>
  <si>
    <t>Life and Art</t>
  </si>
  <si>
    <t>BIOGRAPHY &amp; AUTOBIOGRAPHY / Literary Figures</t>
  </si>
  <si>
    <t>PG3458.Z8 F56 2005eb</t>
  </si>
  <si>
    <t>Dreams in literature.,Evolution (Biology) in literature.,Identity (Philosophical concept) in literature.,Self in literature.</t>
  </si>
  <si>
    <t>Finke, Michael C.</t>
  </si>
  <si>
    <t>Why Does Literature Matter?</t>
  </si>
  <si>
    <t>PS221 .F37 2004eb</t>
  </si>
  <si>
    <t>American literature--20th century--History and criticism--Theory, etc.,English literature--20th century--History and criticism--Theory, etc.,Literature--Philosophy.</t>
  </si>
  <si>
    <t>Farrell, Frank B.</t>
  </si>
  <si>
    <t>An Anatomy of Trade in Medieval Writing</t>
  </si>
  <si>
    <t>Value, Consent, and Community</t>
  </si>
  <si>
    <t>HB79 .F37 2006eb</t>
  </si>
  <si>
    <t>Commerce in literature.,Commerce--History--Medieval, 500-1500.,Economics--History--To 1800.,Economics--Moral and ethical aspects--Europe--History.</t>
  </si>
  <si>
    <t>Farber, Lianna</t>
  </si>
  <si>
    <t>Nationalism and Historical Loss in Renaissance England</t>
  </si>
  <si>
    <t>Foxe, Dee, Spenser, Milton</t>
  </si>
  <si>
    <t>PR428.N37 E83 2004</t>
  </si>
  <si>
    <t>English literature--Early modern, 1500-1700--History and criticism.,Literature and history--England--History.,Loss (Psychology) in literature.,Medievalism--England--History.,Nationalism and literature--England--History--16th century.,Nationalism and literature--England--History--17th century.,Renaissance--England.</t>
  </si>
  <si>
    <t>Escobedo, Andrew</t>
  </si>
  <si>
    <t>Clinical Psychiatry in Imperial Germany</t>
  </si>
  <si>
    <t>A History of Psychiatric Practice</t>
  </si>
  <si>
    <t>RC450.G4 E54 2003eb</t>
  </si>
  <si>
    <t>Mental illness--Germany--History--19th century.,Psychiatry--Germany--History--19th century.</t>
  </si>
  <si>
    <t>Engstrom, Eric J.</t>
  </si>
  <si>
    <t>Rivals Beyond Trade</t>
  </si>
  <si>
    <t>America Versus Japan in Global Competition</t>
  </si>
  <si>
    <t>HG5772 .E53 1992eb</t>
  </si>
  <si>
    <t>Investments, American--Government policy--Japan.,Investments, American--Japan.,Investments, Japanese--Government policy--United States.,Investments, Japanese--United States.</t>
  </si>
  <si>
    <t>Encarnation, Dennis J.</t>
  </si>
  <si>
    <t>Delicate Subjects</t>
  </si>
  <si>
    <t>Romanticism, Gender, and the Ethics of Understanding</t>
  </si>
  <si>
    <t>PR457 .E5 1990eb</t>
  </si>
  <si>
    <t>English literature--19th century--History and criticism--Theory, etc.,Ethics in literature.,Feminism and literature.,Romanticism.,Sex role in literature.</t>
  </si>
  <si>
    <t>Ellison, Julie K.</t>
  </si>
  <si>
    <t>Cambodian Culture Since 1975</t>
  </si>
  <si>
    <t>Homeland and Exile</t>
  </si>
  <si>
    <t>DS554.8 .C359 1994</t>
  </si>
  <si>
    <t>Khmers--Foreign countries.</t>
  </si>
  <si>
    <t>Ebihara, May.-Mortland, Carol A.-Ledgerwood, Judy</t>
  </si>
  <si>
    <t>Asia, East by South</t>
  </si>
  <si>
    <t>Transforming Women's Work</t>
  </si>
  <si>
    <t>New England Lives in the Industrial Revolution</t>
  </si>
  <si>
    <t>HISTORY / United States / State &amp; Local / New England (CT, MA, ME, NH, RI, VT)</t>
  </si>
  <si>
    <t>HD6096.A11 D83 1994eb</t>
  </si>
  <si>
    <t>Industrial revolution--New England.,Wages--Women--New England--History.,Women--Employment--New England--History.</t>
  </si>
  <si>
    <t>Dublin, Thomas</t>
  </si>
  <si>
    <t>Enigmas</t>
  </si>
  <si>
    <t>Essays on Sarah Kofman</t>
  </si>
  <si>
    <t>B2430.K64 E53 1999</t>
  </si>
  <si>
    <t>Deutscher, Penelope-Oliver, Kelly</t>
  </si>
  <si>
    <t>Red, White, and Blue Letter Days</t>
  </si>
  <si>
    <t>An American Calendar</t>
  </si>
  <si>
    <t>HISTORY / United States / General</t>
  </si>
  <si>
    <t>GT4803.A2 D46 2002</t>
  </si>
  <si>
    <t>Holidays--United States--History.,Memory--Social aspects--United States.,National characteristics, American.</t>
  </si>
  <si>
    <t>Dennis, Matthew</t>
  </si>
  <si>
    <t>Creating Cooperation</t>
  </si>
  <si>
    <t>How States Develop Human Capital in Europe</t>
  </si>
  <si>
    <t>HD5715.5.E85 C857 2003eb</t>
  </si>
  <si>
    <t>Human capital--Europe.,Occupational training--Europe.,Skilled labor--Europe.</t>
  </si>
  <si>
    <t>Culpepper, Pepper D.</t>
  </si>
  <si>
    <t>Unwanted Company</t>
  </si>
  <si>
    <t>Foreign Investment in American Industries</t>
  </si>
  <si>
    <t>HG4910 .C79 2003eb</t>
  </si>
  <si>
    <t>Investments, Foreign--United States.</t>
  </si>
  <si>
    <t>Crystal, Jonathan</t>
  </si>
  <si>
    <t>The "Odyssey" in Athens</t>
  </si>
  <si>
    <t>Myths of Cultural Origins</t>
  </si>
  <si>
    <t>PA4167 .C58 1995</t>
  </si>
  <si>
    <t>Epic poetry, Greek--History and criticism.,Epic poetry, Greek--Religious aspects.,Mythology, Greek, in literature.,Odysseus (Greek mythology) in literature.</t>
  </si>
  <si>
    <t>Cook, Erwin F.</t>
  </si>
  <si>
    <t>Myth and Poetics</t>
  </si>
  <si>
    <t>Amakudari</t>
  </si>
  <si>
    <t>The Hidden Fabric of Japan's Economy</t>
  </si>
  <si>
    <t>JQ1631 .C65 2003eb</t>
  </si>
  <si>
    <t>Bureaucracy--Japan.,Power (Social sciences)--Japan.</t>
  </si>
  <si>
    <t>Colignon, Richard A.-Usui, Chikako</t>
  </si>
  <si>
    <t>Articulate Silences</t>
  </si>
  <si>
    <t>Hisaye Yamamoto, Maxine Hong Kingston, and Joy Kogewa</t>
  </si>
  <si>
    <t>LITERARY CRITICISM / American / Asian American</t>
  </si>
  <si>
    <t>PS153.A84 C48 1993</t>
  </si>
  <si>
    <t>American literature--Asian American authors--History and criticism.,American literature--Women authors--History and criticism.,Asian American women in literature.,Asian American women--Intellectual life.,Asian Americans in literature.,Women and literature--United States--History--20th century.</t>
  </si>
  <si>
    <t>Cheung, King-Kok</t>
  </si>
  <si>
    <t>Employment with a Human Face</t>
  </si>
  <si>
    <t>Balancing Efficiency, Equity, and Voice</t>
  </si>
  <si>
    <t>HD6971 .B825 2004eb</t>
  </si>
  <si>
    <t>Industrial relations.</t>
  </si>
  <si>
    <t>Budd, John W.</t>
  </si>
  <si>
    <t>Misrepresentations</t>
  </si>
  <si>
    <t>Shakespeare and the Materialists</t>
  </si>
  <si>
    <t>PR2970 .B73 1993</t>
  </si>
  <si>
    <t>Criticism--History--20th century.,Historical criticism (Literature),Literature and anthropology.,Materialism.</t>
  </si>
  <si>
    <t>Bradshaw, Graham.</t>
  </si>
  <si>
    <t>All Theater Is Revolutionary Theater</t>
  </si>
  <si>
    <t>PN2039 .B455 2005eb</t>
  </si>
  <si>
    <t>Theater--Philosophy.</t>
  </si>
  <si>
    <t>Bennett, Benjamin</t>
  </si>
  <si>
    <t>A Compulsion for Antiquity</t>
  </si>
  <si>
    <t>Freud and the Ancient World</t>
  </si>
  <si>
    <t>PSYCHOLOGY / History</t>
  </si>
  <si>
    <t>RC503 .A75 2005eb</t>
  </si>
  <si>
    <t>Civilization, Ancient.,Psychoanalysis--History.</t>
  </si>
  <si>
    <t>Armstrong, Richard H.</t>
  </si>
  <si>
    <t>Beyond "Justification"</t>
  </si>
  <si>
    <t>Dimensions of Epistemic Evaluation</t>
  </si>
  <si>
    <t>PHILOSOPHY / Religious</t>
  </si>
  <si>
    <t>BD212 .A45 2005eb</t>
  </si>
  <si>
    <t>Belief and doubt.,Epistemics.,Justification (Theory of knowledge),Knowledge, Theory of.</t>
  </si>
  <si>
    <t>Alston, William P.</t>
  </si>
  <si>
    <t>Stalin's Outcasts</t>
  </si>
  <si>
    <t>Aliens, Citizens, and the Soviet State, 1926â€“1936</t>
  </si>
  <si>
    <t>JN6583 .A64 2003eb</t>
  </si>
  <si>
    <t>Citizenship--Soviet Union.,Class consciousness--Soviet Union.,Marginality, Social--Soviet Union.,Political rights--Soviet Union.</t>
  </si>
  <si>
    <t>Alexopoulos, Golfo</t>
  </si>
  <si>
    <t>Solitary: Alone We Are Nothing</t>
  </si>
  <si>
    <t>Ambort, Gladys</t>
  </si>
  <si>
    <t>Conceptions of State and Kingship in Southeast Asia</t>
  </si>
  <si>
    <t>Southeast Asia Program Publications</t>
  </si>
  <si>
    <t>JQ96 .H4eb</t>
  </si>
  <si>
    <t>Monarchy.</t>
  </si>
  <si>
    <t>Heine-Geldern, Robert</t>
  </si>
  <si>
    <t>Cornell University. Southeast Asia Program. Data Paper</t>
  </si>
  <si>
    <t>Work in France</t>
  </si>
  <si>
    <t>Representations, Meaning, Organization, and Practice</t>
  </si>
  <si>
    <t>HD8428 .W67 1986eb</t>
  </si>
  <si>
    <t>Labor--France--History--Congresses.,Work--History--Congresses.</t>
  </si>
  <si>
    <t>Kaplan, Steven L.-Koepp, Cynthia J.</t>
  </si>
  <si>
    <t>The Search for the Gene</t>
  </si>
  <si>
    <t>SCIENCE / Life Sciences / Genetics &amp; Genomics</t>
  </si>
  <si>
    <t>QH430 .W344 1992</t>
  </si>
  <si>
    <t>Genetics.</t>
  </si>
  <si>
    <t>Wallace, Bruce</t>
  </si>
  <si>
    <t>Allegoresis</t>
  </si>
  <si>
    <t>Reading Canonical Literature East and West</t>
  </si>
  <si>
    <t>LITERARY CRITICISM / Comparative Literature</t>
  </si>
  <si>
    <t>PN56.A5 Z43 2005eb</t>
  </si>
  <si>
    <t>Allegory.,Canon (Literature),Comparative literature--Chinese and Western.,Comparative literature--Western and Chinese.</t>
  </si>
  <si>
    <t>Zhang Longxi.</t>
  </si>
  <si>
    <t>The Business of Benevolence</t>
  </si>
  <si>
    <t>Industrial Paternalism in Progressive America</t>
  </si>
  <si>
    <t>HD7654 .T66 1997eb</t>
  </si>
  <si>
    <t>Industrial welfare--United States--History--20th century.</t>
  </si>
  <si>
    <t>Tone, Andrea</t>
  </si>
  <si>
    <t>Pierre Bourdieu</t>
  </si>
  <si>
    <t>A Critical Introduction</t>
  </si>
  <si>
    <t>Pluto Press</t>
  </si>
  <si>
    <t>Jeremy F. Lane</t>
  </si>
  <si>
    <t>Modern European Thinkers</t>
  </si>
  <si>
    <t>Gender Politics</t>
  </si>
  <si>
    <t>Citizenship, Activism and Sexual Diversity</t>
  </si>
  <si>
    <t>Surya Monro</t>
  </si>
  <si>
    <t>An Introduction to Bilingual Development</t>
  </si>
  <si>
    <t>Multilingual Matters</t>
  </si>
  <si>
    <t>Dr. Annick De Houwer</t>
  </si>
  <si>
    <t>MM Textbooks</t>
  </si>
  <si>
    <t>Learning to Be Literate</t>
  </si>
  <si>
    <t>Multilingual Perspectives</t>
  </si>
  <si>
    <t>LANGUAGE ARTS &amp; DISCIPLINES / Literacy</t>
  </si>
  <si>
    <t>Prof. Viv Edwards</t>
  </si>
  <si>
    <t>Samson's Cords</t>
  </si>
  <si>
    <t>Imposing Oaths in Milton, Marvell, and Butler</t>
  </si>
  <si>
    <t>PR431 .G37 2018</t>
  </si>
  <si>
    <t>English literature--17th century--History and criticism.,Oaths in literature.</t>
  </si>
  <si>
    <t>Garganigo, Alex</t>
  </si>
  <si>
    <t>National Employment, Migration and Education in the GCC</t>
  </si>
  <si>
    <t>Gerlach Press</t>
  </si>
  <si>
    <t>Hertog, Steffen</t>
  </si>
  <si>
    <t>Islam â€“ Submission and Disobedience</t>
  </si>
  <si>
    <t>al-Azm, Sadik J.</t>
  </si>
  <si>
    <t>On Fundamentalisms</t>
  </si>
  <si>
    <t>Critique of Religious Thought. First English Translation of Naqd al-fikr ad-dini</t>
  </si>
  <si>
    <t>Der Orient - Fiktion oder RealitÃ¤t? / The Orient - Fiction or Reality? A Critical Analysis of 19th Century German Travel Reports</t>
  </si>
  <si>
    <t>Khalifa, Mohammed</t>
  </si>
  <si>
    <t>Employment and Career Motivation in the Arab Gulf States. The Rentier Mentality Revisited</t>
  </si>
  <si>
    <t>Kropf, Annika-Ramady, Mohamed</t>
  </si>
  <si>
    <t>Trial and Tribulation in the Qurâ€˜an. A Mystical Theodicy</t>
  </si>
  <si>
    <t>Rouzati, Nasrin-Turner, Colin</t>
  </si>
  <si>
    <t>Survivors</t>
  </si>
  <si>
    <t>CAMBODIAN REFUGEES IN THE UNITED STATES</t>
  </si>
  <si>
    <t>University of Illinois Press</t>
  </si>
  <si>
    <t>E184.K45 C48 2004</t>
  </si>
  <si>
    <t>Cambodian Americans--Biography.,Cambodian Americans--Social conditions.,Refugees--Cambodia.,Refugees--United States--Social conditions.</t>
  </si>
  <si>
    <t>Chan, Sucheng.</t>
  </si>
  <si>
    <t>Asian American Experience</t>
  </si>
  <si>
    <t>Measured Words</t>
  </si>
  <si>
    <t>Computation and Writing in Renaissance Italy</t>
  </si>
  <si>
    <t>MATHEMATICS / Essays</t>
  </si>
  <si>
    <t>QA27.I8 S25 2017</t>
  </si>
  <si>
    <t>Mathematical literature--Italy--History--15th century.,Mathematical literature--Italy--History--16th century.,Mathematics--Italy--History--15th century.,Mathematics--Italy--History--16th century.,Science and the humanities--Italy--History--15th century.,Science and the humanities--Italy--History--16th century.</t>
  </si>
  <si>
    <t>Saiber, Arielle</t>
  </si>
  <si>
    <t>Toronto Italian Studies</t>
  </si>
  <si>
    <t>EHealth - For Continuity of Care</t>
  </si>
  <si>
    <t>Proceedings of MIE2014</t>
  </si>
  <si>
    <t>IOS Press</t>
  </si>
  <si>
    <t>MEDICAL / Public Health</t>
  </si>
  <si>
    <t>C. Lovis-B. SÃ©roussi-A. Hasman</t>
  </si>
  <si>
    <t>Studies in Health Technology and Informatics</t>
  </si>
  <si>
    <t>Purple Hummingbird</t>
  </si>
  <si>
    <t>A Biography of Elizabeth Warder Crozer Campbell</t>
  </si>
  <si>
    <t>University of Utah Press</t>
  </si>
  <si>
    <t>CC115.C363 W37 2017</t>
  </si>
  <si>
    <t>Archaeologists--California--Biography.</t>
  </si>
  <si>
    <t>Warren, Claude N.-Schneider, Joan S.</t>
  </si>
  <si>
    <t>An American (Homeless) in Paris</t>
  </si>
  <si>
    <t>CT275.A6835</t>
  </si>
  <si>
    <t>Homeless persons--Biography.</t>
  </si>
  <si>
    <t>Ames, Chris</t>
  </si>
  <si>
    <t>Jumping the Abyss</t>
  </si>
  <si>
    <t>Marriner S. Eccles and the New Deal, 1933â€“1940</t>
  </si>
  <si>
    <t>HC106.3</t>
  </si>
  <si>
    <t>New Deal, 1933-1939.</t>
  </si>
  <si>
    <t>Nelson, Mark Wayne</t>
  </si>
  <si>
    <t>On Second Thought</t>
  </si>
  <si>
    <t>Learned Women Reflect on Profession, Community, and Purpose</t>
  </si>
  <si>
    <t>HQ1397 .O5 2017eb</t>
  </si>
  <si>
    <t>Women scholars.,Women scholars--Religious life.,Work-life balance.</t>
  </si>
  <si>
    <t>Del Giudice, Luisa</t>
  </si>
  <si>
    <t>Ordinary Trauma</t>
  </si>
  <si>
    <t>CT275</t>
  </si>
  <si>
    <t>Children of military personnel--Psychology.,Psychic trauma in children.,Psychologically abused children--United States--Biography.</t>
  </si>
  <si>
    <t>Sinor, Jennifer</t>
  </si>
  <si>
    <t>Refutatio omnium haeresium</t>
  </si>
  <si>
    <t>RELIGION / Christianity / General</t>
  </si>
  <si>
    <t>Paul Wendland</t>
  </si>
  <si>
    <t>Die Pistis Sophia. Die beiden BÃ¼cher des JeÃ». Unbekanntes altgnostisches Werk</t>
  </si>
  <si>
    <t>RELIGION / Christian Theology / Ecclesiology</t>
  </si>
  <si>
    <t>cop</t>
  </si>
  <si>
    <t>Hans-Martin Schenke</t>
  </si>
  <si>
    <t>Story-takers</t>
  </si>
  <si>
    <t>Public Pedagogy, Transitional Justice and Italy's Non-violent Protest Against... The Mafia</t>
  </si>
  <si>
    <t>SOCIAL SCIENCE / Criminology</t>
  </si>
  <si>
    <t>HV6452.5</t>
  </si>
  <si>
    <t>Mafia--Italy--Sicily--Case studies.,Nonviolence--Italy--Sicily--Case studies.,Organized crime--Social aspects--Italy--Sicily--Case studies.,Social movements--Italy--Sicily--Case studies.</t>
  </si>
  <si>
    <t>Salvio, Paula.</t>
  </si>
  <si>
    <t>Queer Feminist Science Studies</t>
  </si>
  <si>
    <t>A Reader</t>
  </si>
  <si>
    <t>University of Washington Press</t>
  </si>
  <si>
    <t>HQ76.25</t>
  </si>
  <si>
    <t>Feminist theory.,Queer theory.,Science--Study and teaching.</t>
  </si>
  <si>
    <t>Cipolla, Cyd-Gupta, Kristina-Rubin, David A.</t>
  </si>
  <si>
    <t>Feminist Technosciences</t>
  </si>
  <si>
    <t>Computation and Communication Technologies</t>
  </si>
  <si>
    <t>COMPUTERS / Information Technology</t>
  </si>
  <si>
    <t>Senthil T. Kumar-Bala Mathivanan</t>
  </si>
  <si>
    <t>Trade Liberalization and the Canadian Pulp and Paper Industry</t>
  </si>
  <si>
    <t>HD9834.C22 H3</t>
  </si>
  <si>
    <t>Paper industry--Canada.,Wood-pulp industry--Canada.</t>
  </si>
  <si>
    <t>Haviland, William E.-Takacsy, N. S.-Private Planning Association of Canada.-Cape, Edward M.</t>
  </si>
  <si>
    <t>Canada in the Atlantic Economy</t>
  </si>
  <si>
    <t>Wordsworth's Metaphysical Verse</t>
  </si>
  <si>
    <t>Geometry, Nature, and Form</t>
  </si>
  <si>
    <t>PR5881 .J63 1982eb</t>
  </si>
  <si>
    <t>Geometry in literature.,Literary form--History--19th century.,Metaphysics in literature.,Nature in literature.</t>
  </si>
  <si>
    <t>Johnson, Lee M.</t>
  </si>
  <si>
    <t>Saul: a Drama, in Three Parts</t>
  </si>
  <si>
    <t>DRAMA / American / General</t>
  </si>
  <si>
    <t>PR4779.H15 S3 1973</t>
  </si>
  <si>
    <t>Heavysege, Charles</t>
  </si>
  <si>
    <t>Toronto Reprint Library of Canadian Prose and Poetry</t>
  </si>
  <si>
    <t>In the Children's Aid</t>
  </si>
  <si>
    <t>J.J. Kelso and Child Welfare in Ontario</t>
  </si>
  <si>
    <t>BIOGRAPHY &amp; AUTOBIOGRAPHY / Social Scientists &amp; Psychologists</t>
  </si>
  <si>
    <t>HV28.K36 J66 1981</t>
  </si>
  <si>
    <t>Child welfare--Ontario--History.,Social reformers--Canada--Biography.</t>
  </si>
  <si>
    <t>Jones, Andrew-Rutman, Leonard.</t>
  </si>
  <si>
    <t>Among the Forest Trees</t>
  </si>
  <si>
    <t>Or, How the Bushman Family Got Their Homes</t>
  </si>
  <si>
    <t>FICTION / Historical / General</t>
  </si>
  <si>
    <t>PR4790.H5 A48 1973</t>
  </si>
  <si>
    <t>Frontier and pioneer life--Canada.</t>
  </si>
  <si>
    <t>Hilts, Joseph H.</t>
  </si>
  <si>
    <t>Richard Jefferies</t>
  </si>
  <si>
    <t>A Critical Study</t>
  </si>
  <si>
    <t>PR4823 .K4</t>
  </si>
  <si>
    <t>Keith, W. J.</t>
  </si>
  <si>
    <t>University of Toronto. Department of English. Studies and Texts</t>
  </si>
  <si>
    <t>The Celestial Cycle</t>
  </si>
  <si>
    <t>The Theme of Paradise Lost in World Literature with Translations of the Major Analogues</t>
  </si>
  <si>
    <t>PR3562 .K5</t>
  </si>
  <si>
    <t>Comparative literature--Themes, motives.,Devil in literature.,Fall of man.</t>
  </si>
  <si>
    <t>Kirkconnell, Watson</t>
  </si>
  <si>
    <t>Awake the Courteous Echo</t>
  </si>
  <si>
    <t>The Themes and Prosody of Comus, Lycidas, and Paradise Regained in World Literature with Translations of the Major Analogues</t>
  </si>
  <si>
    <t>PR3586 .K5</t>
  </si>
  <si>
    <t>Comparative literature--Themes, motives.</t>
  </si>
  <si>
    <t>Count Filippo</t>
  </si>
  <si>
    <t>Or, The Unequal Marriage. A Drama in Five Acts</t>
  </si>
  <si>
    <t>PR4779.H15 C6 1973</t>
  </si>
  <si>
    <t>English drama--19th century.</t>
  </si>
  <si>
    <t>Theory Building in Social Work</t>
  </si>
  <si>
    <t>HV40 .H4</t>
  </si>
  <si>
    <t>Social service.,Social workers.</t>
  </si>
  <si>
    <t>Hearn, Gordon.</t>
  </si>
  <si>
    <t>An Annotated Bibliography of Smollett Scholarship 1946-68</t>
  </si>
  <si>
    <t>REFERENCE / Bibliographies &amp; Indexes</t>
  </si>
  <si>
    <t>PR3697.3 .K6</t>
  </si>
  <si>
    <t>Korte, Donald M.</t>
  </si>
  <si>
    <t>The Letter Bag of the Great Western</t>
  </si>
  <si>
    <t>Or, Life in a Steamer</t>
  </si>
  <si>
    <t>PR4735.H25</t>
  </si>
  <si>
    <t>Canadian wit and humor.</t>
  </si>
  <si>
    <t>Haliburton, Thomas Chandler</t>
  </si>
  <si>
    <t>Domestic and Heroic in Tennyson's Poetry</t>
  </si>
  <si>
    <t>PR5592.F36 H34 1981eb</t>
  </si>
  <si>
    <t>Families in literature.,Heroes in literature.,Home in literature.</t>
  </si>
  <si>
    <t>Hair, Donald S.</t>
  </si>
  <si>
    <t>Browning's Experiments with Genre</t>
  </si>
  <si>
    <t>PR4238 .H24eb</t>
  </si>
  <si>
    <t>Literary form--History--19th century.,Literature, Experimental--History and criticism.,Poetics--History--19th century.</t>
  </si>
  <si>
    <t>University of Toronto. Dept. Of English. Studies and Texts, 19</t>
  </si>
  <si>
    <t>Mau Mau â€“ Twenty Years After</t>
  </si>
  <si>
    <t>The Myth and the Survivors</t>
  </si>
  <si>
    <t>Robert Buijtenhuijs</t>
  </si>
  <si>
    <t>Communications / Afrika Studiecentrum, Leiden</t>
  </si>
  <si>
    <t>On Believing. De La Croyance. Epistemological and Semiotic Approaches</t>
  </si>
  <si>
    <t>Herman [Ed.] Parret</t>
  </si>
  <si>
    <t>Grundlagen Der Kommunikation Und Kognition / Foundations of Communication and Cognition</t>
  </si>
  <si>
    <t>Library Service for the Blind and Physically Handicapped</t>
  </si>
  <si>
    <t>An International Approach</t>
  </si>
  <si>
    <t>LANGUAGE ARTS &amp; DISCIPLINES / General</t>
  </si>
  <si>
    <t>Frank Kurt Cylke-International Federation of Library Associations and Institutions</t>
  </si>
  <si>
    <t>IFLA Publications</t>
  </si>
  <si>
    <t>Basic Thinking in Regional Planning</t>
  </si>
  <si>
    <t>F. B. Gillie</t>
  </si>
  <si>
    <t>Publications of the Institute of Social Studies</t>
  </si>
  <si>
    <t>Pasternak's Lyric</t>
  </si>
  <si>
    <t>A Study of Sound and Imagery</t>
  </si>
  <si>
    <t>Dale L. Plank</t>
  </si>
  <si>
    <t>Slavistic Printings and Reprintings</t>
  </si>
  <si>
    <t>Dictionary Look-up Strategies and the Bilingualised Learner's Dictionary</t>
  </si>
  <si>
    <t>A Think-aloud Study</t>
  </si>
  <si>
    <t>Jenny Thumb</t>
  </si>
  <si>
    <t>Margaret the First</t>
  </si>
  <si>
    <t>A Biography of Margaret Cavendish, Duchess of Newcastle, 1623-1673</t>
  </si>
  <si>
    <t>PR3605.N2 Z74 1957eb</t>
  </si>
  <si>
    <t>Grant, Douglas.</t>
  </si>
  <si>
    <t>Heritage</t>
  </si>
  <si>
    <t>The Valley of Vision</t>
  </si>
  <si>
    <t>Blake As Prophet and Revolutionary</t>
  </si>
  <si>
    <t>PR4147 .F5 1961</t>
  </si>
  <si>
    <t>Prophecies in literature.,Revolutionary literature, English--History and criticism.,Visions in literature.</t>
  </si>
  <si>
    <t>Fisher, Peter F.-Frye, Northrop</t>
  </si>
  <si>
    <t>University of Toronto Department of English. Studies and Texts</t>
  </si>
  <si>
    <t>The Vast Design, Patterns in W.B. Yeats's Aesthetic</t>
  </si>
  <si>
    <t>LITERARY CRITICISM / Modern / 20th Century</t>
  </si>
  <si>
    <t>PR5908.A35 E5 1974eb</t>
  </si>
  <si>
    <t>Aesthetics, Modern--20th century.,Poetics--History--20th century.</t>
  </si>
  <si>
    <t>Engelberg, Edward</t>
  </si>
  <si>
    <t>Helter-Shelter</t>
  </si>
  <si>
    <t>Security, Legality, and an Ethic of Care in an Emergency Shelter</t>
  </si>
  <si>
    <t>HV4493</t>
  </si>
  <si>
    <t>Homeless persons--Care--Moral and ethical aspects.,Shelters for the homeless.</t>
  </si>
  <si>
    <t>Ranasinghe, Prashan.</t>
  </si>
  <si>
    <t>Useless Joyce</t>
  </si>
  <si>
    <t>Textual Functions, Cultural Appropriations</t>
  </si>
  <si>
    <t>PR6019.O9</t>
  </si>
  <si>
    <t>Art and literature.</t>
  </si>
  <si>
    <t>Conley, Tim</t>
  </si>
  <si>
    <t>Paramedics on and off the Streets</t>
  </si>
  <si>
    <t>Emergency Medical Services in the Age of Technological Governance</t>
  </si>
  <si>
    <t>RA645.7.C32</t>
  </si>
  <si>
    <t>Allied health personnel--Alberta--Calgary.,Emergency medical services--Alberta--Calgary.</t>
  </si>
  <si>
    <t>Corman, Michael K.</t>
  </si>
  <si>
    <t>The Soviet Union and the Gutting of the UN Genocide Convention</t>
  </si>
  <si>
    <t>University of Wisconsin Press</t>
  </si>
  <si>
    <t>HV6322</t>
  </si>
  <si>
    <t>Genocide (International law),Genocide intervention--Political aspects.,Genocide--Prevention--International cooperation.</t>
  </si>
  <si>
    <t>Weiss-Wendt, Anton</t>
  </si>
  <si>
    <t>Critical Human Rights</t>
  </si>
  <si>
    <t>If You Don't Laugh You'll Cry</t>
  </si>
  <si>
    <t>The Occupational Humor of White Wisconsin Prison Workers</t>
  </si>
  <si>
    <t>HV9470 .S36 2017eb</t>
  </si>
  <si>
    <t>Humor in the workplace--Wisconsin.,Prisons--Wisconsin--Officials and employees--Folklore.</t>
  </si>
  <si>
    <t>Schmidt, Claire</t>
  </si>
  <si>
    <t>Folklore Studies in a Multicultural World</t>
  </si>
  <si>
    <t>Standard Dictionary of Advertising, Mass Media and Marketing / Standard WÃ¶rterbuch FÃ¼r Werbung, Massenmedien Und Marketing</t>
  </si>
  <si>
    <t>English-German / Englisch-Deutsch</t>
  </si>
  <si>
    <t>BUSINESS &amp; ECONOMICS / Management</t>
  </si>
  <si>
    <t>Wolfgang J. Koschnick</t>
  </si>
  <si>
    <t>Human Resource Management in Western Europe</t>
  </si>
  <si>
    <t>Ingrid Brunstein</t>
  </si>
  <si>
    <t>De Gruyter Studies in Organization</t>
  </si>
  <si>
    <t>Semiotic Theory and Practice, Volume 1+2</t>
  </si>
  <si>
    <t>Proceedings of the Third International Congress of the International Association for Semiotic Studies Palermo, 1984</t>
  </si>
  <si>
    <t>Michael Herzfeld-Lucio Melazzo</t>
  </si>
  <si>
    <t>Appendix (Synopses, Bibliographies, Tables)</t>
  </si>
  <si>
    <t>Peter Flora</t>
  </si>
  <si>
    <t>European University Institute - Series C</t>
  </si>
  <si>
    <t>The Merchants Adventurers and the Continental Cloth-trade (1560sâ€“1620s)</t>
  </si>
  <si>
    <t>Wolf R. Baumann</t>
  </si>
  <si>
    <t>European University Institute - Series B</t>
  </si>
  <si>
    <t>Syntactic Case and Morphological Case in the History of English</t>
  </si>
  <si>
    <t>Ans van Kemenade</t>
  </si>
  <si>
    <t>Loan Phonology and the Two Transfer Types in Language Contact</t>
  </si>
  <si>
    <t>Frans van Coetsem</t>
  </si>
  <si>
    <t>Publications in Language Sciences</t>
  </si>
  <si>
    <t>Herder Today</t>
  </si>
  <si>
    <t>Contributions From the International Herder Conference, November 5â€“8, 1987, Stanford, California</t>
  </si>
  <si>
    <t>Kurt Mueller-Vollmer</t>
  </si>
  <si>
    <t>The Critical Theory of Religion; The Frankfurt School</t>
  </si>
  <si>
    <t>From Universal Pragmatic to Political Theology</t>
  </si>
  <si>
    <t>RELIGION / General</t>
  </si>
  <si>
    <t>Rudolf J. Siebert</t>
  </si>
  <si>
    <t>Adrenal Steroid Antagonism</t>
  </si>
  <si>
    <t>Proceedings. Satellite Workshop of the VII. International Congress of Endocrinology Quebec, Canada, July 7, 1984</t>
  </si>
  <si>
    <t>SCIENCE / General</t>
  </si>
  <si>
    <t>Manjul K. Agarwal</t>
  </si>
  <si>
    <t>Das wasserrechtliche Verschlechterungsverbot und seine Ausnahmen</t>
  </si>
  <si>
    <t>Kassel University Press GmbH</t>
  </si>
  <si>
    <t>Kassel University Press</t>
  </si>
  <si>
    <t>LAW / Practical Guides</t>
  </si>
  <si>
    <t>K3496 .A573 2017</t>
  </si>
  <si>
    <t>Water--Law and legislation.</t>
  </si>
  <si>
    <t>ger</t>
  </si>
  <si>
    <t>AnschuÌˆtz, Maria.</t>
  </si>
  <si>
    <t>Interdisciplinary Research on Climate Change Mitigation and Adaption</t>
  </si>
  <si>
    <t>Das GlÃ¼ck ist ein Schmetterling</t>
  </si>
  <si>
    <t>Vorlesebuch fÃ¼r Senioren. Heiter-besinnliche Kurzgeschichten</t>
  </si>
  <si>
    <t>Schluetersche Verlagsgesellschaft mbH &amp; Co. KG</t>
  </si>
  <si>
    <t>SchlÃ¼tersche Verlagsgesellschaft mbH &amp; Co. KG</t>
  </si>
  <si>
    <t>MEDICAL / Family &amp; General Practice</t>
  </si>
  <si>
    <t>BF575.H27 .G53 2017</t>
  </si>
  <si>
    <t>Emotions.,Happiness.</t>
  </si>
  <si>
    <t>Beer-Kuhner, IreÌn.-Bendrich, Katrin.-RuÌˆhl, Martina.-Saal, Bernd.-Winkler, Susann.</t>
  </si>
  <si>
    <t>"Siehe, wie gut und schÃ¶n es ist, wenn Geschwister beieinander wohnen"</t>
  </si>
  <si>
    <t>Festschrift fÃ¼r Wolfgang Seibert</t>
  </si>
  <si>
    <t>Verlag Traugott Bautz GmbH</t>
  </si>
  <si>
    <t>Traugott Bautz</t>
  </si>
  <si>
    <t>B72</t>
  </si>
  <si>
    <t>Philosophy--History.</t>
  </si>
  <si>
    <t>GoÃŸmann, Hans-Christoph.-Will, Michaela.</t>
  </si>
  <si>
    <t>Jerusalemer Texte</t>
  </si>
  <si>
    <t>Der Operettenlibrettist Victor LÃ©on</t>
  </si>
  <si>
    <t>Eine Werkbiografie</t>
  </si>
  <si>
    <t>Transcript Verlag</t>
  </si>
  <si>
    <t>transcript Verlag</t>
  </si>
  <si>
    <t>MUSIC / Printed Music / Vocal</t>
  </si>
  <si>
    <t>ML1900</t>
  </si>
  <si>
    <t>Librettists--Austria--Vienna--Biography.,Operetta--Austria--Vienna--History and criticism.</t>
  </si>
  <si>
    <t>Denscher, Barbara.</t>
  </si>
  <si>
    <t>Theater</t>
  </si>
  <si>
    <t>Noise - Klang zwischen Musik und LÃ¤rm</t>
  </si>
  <si>
    <t>Zu einer Praxeologie des Auditiven</t>
  </si>
  <si>
    <t>SCIENCE / Acoustics &amp; Sound</t>
  </si>
  <si>
    <t>QC225</t>
  </si>
  <si>
    <t>Music--Social aspects.,Noise--Psychological aspects.,Noise--Social aspects.,Sound (Philosophy),Sound--Social aspects.</t>
  </si>
  <si>
    <t>Ginkel, Kai.</t>
  </si>
  <si>
    <t>Kulturen der Gesellschaft</t>
  </si>
  <si>
    <t>Musik und KÃ¶rper</t>
  </si>
  <si>
    <t>InterdisziplinÃ¤re Dialoge zum kÃ¶rperlichen Erleben und Verstehen von Musik</t>
  </si>
  <si>
    <t>MUSIC / Instruction &amp; Study / Theory</t>
  </si>
  <si>
    <t>ML3820 .M87 2017eb</t>
  </si>
  <si>
    <t>Music and dance.,Music--Physiological effect.</t>
  </si>
  <si>
    <t>Oberhaus, Lars.-Stange, Christoph.</t>
  </si>
  <si>
    <t>Musik und Klangkultur</t>
  </si>
  <si>
    <t>Unterscheiden und herrschen</t>
  </si>
  <si>
    <t>Ein Essay zu den ambivalenten Verflechtungen von Rassismus, Sexismus und Feminismus in der Gegenwart</t>
  </si>
  <si>
    <t>HQ1180</t>
  </si>
  <si>
    <t>Feminism.,Intersectionality (Sociology),Racism.,Sexism.</t>
  </si>
  <si>
    <t>SABINE HARK-PAULA-IRENE VILLA.</t>
  </si>
  <si>
    <t>X-Texte zu Kultur und Gesellschaft</t>
  </si>
  <si>
    <t>SubjektivitÃ¤t und Kunst</t>
  </si>
  <si>
    <t>Konstitution der Moderne nach Hegel und Nietzsche</t>
  </si>
  <si>
    <t>B841.6 .J85 2017</t>
  </si>
  <si>
    <t>Art--Philosophy.,Philosophy, Modern--19th century.,Subjectivity.</t>
  </si>
  <si>
    <t>Jung, Daehun</t>
  </si>
  <si>
    <t>Edition Moderne Postmoderne</t>
  </si>
  <si>
    <t>Wilde Dinge in Kunst und Design</t>
  </si>
  <si>
    <t>Aspekte der AlteritÃ¤t seit 1800</t>
  </si>
  <si>
    <t>Gerald SchrÃ¶der-Christina Threuter</t>
  </si>
  <si>
    <t>Image</t>
  </si>
  <si>
    <t>Entprofessionalisieren wir uns!</t>
  </si>
  <si>
    <t>Ein kritisches WÃ¶rterbuch Ã¼ber die Sprache in Pflege und sozialer Arbeit</t>
  </si>
  <si>
    <t>Reimer Gronemeyer-Charlotte Jurk</t>
  </si>
  <si>
    <t>Resonanz - Rhythmus - Synchronisierung</t>
  </si>
  <si>
    <t>Interaktionen in Alltag, Therapie und Kunst</t>
  </si>
  <si>
    <t>Thiemo Breyer-Michael B. Buchholz-Andreas Hamburger-Stefan PfÃ¤nder-Elke Schumann</t>
  </si>
  <si>
    <t>Edition Kulturwissenschaft</t>
  </si>
  <si>
    <t>Sein und Teilen</t>
  </si>
  <si>
    <t>Eine Praxis schÃ¶pferischer Existenz</t>
  </si>
  <si>
    <t>Andreas Weber</t>
  </si>
  <si>
    <t>Wie christlich ist unsere Gesellschaft?</t>
  </si>
  <si>
    <t>Das Christentum im Zeitalter von SÃ¤kularitÃ¤t und MultireligiositÃ¤t</t>
  </si>
  <si>
    <t>Birgit Rommelspacher</t>
  </si>
  <si>
    <t>Design und Improvisation</t>
  </si>
  <si>
    <t>Produkte, Prozesse und Methoden</t>
  </si>
  <si>
    <t>Annika Frye</t>
  </si>
  <si>
    <t>Design</t>
  </si>
  <si>
    <t>Kindheit, Kultur und moralische Emotionen</t>
  </si>
  <si>
    <t>Zur Sozialisation von Furcht und Wut im lÃ¤ndlichen Madagaskar</t>
  </si>
  <si>
    <t>Gabriel Scheidecker</t>
  </si>
  <si>
    <t>Â»GenderÂ«, Â»RaceÂ« und Â»DisabilityÂ« im Sport</t>
  </si>
  <si>
    <t>Von Muhammad Ali Ã¼ber Oscar Pistorius bis Caster Semenya</t>
  </si>
  <si>
    <t>Marion MÃ¼ller-Christian Steuerwald</t>
  </si>
  <si>
    <t>KÃ¶rperKulturen</t>
  </si>
  <si>
    <t>Material und kÃ¼nstlerisches Handeln</t>
  </si>
  <si>
    <t>Positionen und Perspektiven in der Gegenwartskunst  (unter Mitarbeit von Susanne Henning)</t>
  </si>
  <si>
    <t>Sabiene Autsch-Sara HornÃ¤k</t>
  </si>
  <si>
    <t>Im Bann der Plattformen</t>
  </si>
  <si>
    <t>Die nÃ¤chste Runde der Netzkritik  (Ã¼bersetzt aus dem Englischen von Andreas Kallfelz)</t>
  </si>
  <si>
    <t>HM851</t>
  </si>
  <si>
    <t>Internet--Social aspects.</t>
  </si>
  <si>
    <t>GEERT LOVINK.</t>
  </si>
  <si>
    <t>Digitale Gesellschaft</t>
  </si>
  <si>
    <t>FlÃ¼chtlinge: Opfer - Bedrohung - Helden</t>
  </si>
  <si>
    <t>Zur politischen Imagination des Fremden</t>
  </si>
  <si>
    <t>Heidrun Friese</t>
  </si>
  <si>
    <t>Sounds that matter - Dynamiken des HÃ¶rens in Theater und Performance</t>
  </si>
  <si>
    <t>Katharina Rost</t>
  </si>
  <si>
    <t>Handbuch Evangelikalismus</t>
  </si>
  <si>
    <t>RELIGION / Christian Theology / Systematic</t>
  </si>
  <si>
    <t>BR1640</t>
  </si>
  <si>
    <t>Evangelicalism--Germany.</t>
  </si>
  <si>
    <t>Elwert, Frederik.-Radermacher, Martin.-Schlamelcher, Jens.</t>
  </si>
  <si>
    <t>Religionswissenschaft</t>
  </si>
  <si>
    <t>Handbuch Trauma - PÃ¤dagogik - Schule</t>
  </si>
  <si>
    <t>Monika JÃ¤ckle-Bettina Wuttig-Christian Fuchs</t>
  </si>
  <si>
    <t>PÃ¤dagogik</t>
  </si>
  <si>
    <t>Writing Conscience and the Nation in Revolutionary England</t>
  </si>
  <si>
    <t>PR435 .L63 2017eb</t>
  </si>
  <si>
    <t>Conscience in literature.,English literature--Early modern, 1500-1700--History and criticism.,Revolutionary literature, English--History and criticism.</t>
  </si>
  <si>
    <t>Lobo, Giuseppina Iacono</t>
  </si>
  <si>
    <t>Il trust</t>
  </si>
  <si>
    <t>G. Giappichelli Editore Srl</t>
  </si>
  <si>
    <t>G. Giappichelli Editore</t>
  </si>
  <si>
    <t>LAW / Military</t>
  </si>
  <si>
    <t>KKH889</t>
  </si>
  <si>
    <t>Trusts and trustees--Italy.</t>
  </si>
  <si>
    <t>Bassetti, Remo.</t>
  </si>
  <si>
    <t>Sequestro e confisca</t>
  </si>
  <si>
    <t>KKH4652</t>
  </si>
  <si>
    <t>Searches and seizures--Italy.</t>
  </si>
  <si>
    <t>Maugeri, Anna Maria.-Falcinelli, Daniela.-Cupi, Alessandra.</t>
  </si>
  <si>
    <t>Leggi penali tra regole e prassi</t>
  </si>
  <si>
    <t>Florida Weather and Climate</t>
  </si>
  <si>
    <t>More Than Just Sunshine</t>
  </si>
  <si>
    <t>University Press of Florida</t>
  </si>
  <si>
    <t>SCIENCE / Earth Sciences / Meteorology &amp; Climatology</t>
  </si>
  <si>
    <t>QC984.F6 C65 2017eb</t>
  </si>
  <si>
    <t>Climatology.,Storms--Florida.</t>
  </si>
  <si>
    <t>Collins, Jennifer M.-Rohli, Robert V.-Paxton, Charles H.</t>
  </si>
  <si>
    <t>ã‚¢ãƒ³ã‚µãƒ³ãƒ–ãƒ«æ³•ã«ã‚ˆã‚‹æ©Ÿæ¢°å­¦ç¿’</t>
  </si>
  <si>
    <t>åŸºç¤Žã¨ã‚¢ãƒ«ã‚´ãƒªã‚ºãƒ  = Ensemble methods : foundations and algorithms</t>
  </si>
  <si>
    <t>Impress Corporation</t>
  </si>
  <si>
    <t>è¿‘ä»£ç§‘å­¦ç¤¾</t>
  </si>
  <si>
    <t>QA278.4 .Z47163 2017eb</t>
  </si>
  <si>
    <t>Mathematical analysis.,Multiple comparisons (Statistics),Set theory.</t>
  </si>
  <si>
    <t>jpn</t>
  </si>
  <si>
    <t>å‘¨å¿—è¯-å®®å²¡æ‚¦è‰¯-ä¸‹å·æœæœ‰</t>
  </si>
  <si>
    <t>ãƒŠãƒŽãƒã‚¤ã‚ªãƒ»ãƒ¡ãƒ‡ã‚£ã‚·ãƒ³</t>
  </si>
  <si>
    <t>ç´°èƒžæ ¸å†…åå¿œã¨ã‚²ãƒŽãƒ ç·¨é›†</t>
  </si>
  <si>
    <t>SCIENCE / Chemistry / Industrial &amp; Technical</t>
  </si>
  <si>
    <t>TP248.25.N35</t>
  </si>
  <si>
    <t>Genetics.,Nanobiotechnology.,Nanomedicine.</t>
  </si>
  <si>
    <t>å®‡ç†é ˆæ’é›„-ä½ä¹…é–“å“²å²</t>
  </si>
  <si>
    <t>ã‚·ãƒªãƒ¼ã‚ºæœªæ¥ã‚’å‰µã‚‹ãƒŠãƒŽãƒ»ã‚µã‚¤ã‚¨ãƒ³ã‚¹&amp;ãƒ†ã‚¯ãƒŽãƒ­ã‚¸ãƒ¼</t>
  </si>
  <si>
    <t>ã‚ªãƒ¼ãƒ—ãƒ³ã‚½ãƒ¼ã‚¹ãƒãƒ¼ãƒ‰ã‚¦ã‚§ã‚¢</t>
  </si>
  <si>
    <t>ä½“é¨“ã™ã‚‹!! : NanoPi NEO, Arduinoä»–ã§æ¥½ã—ã‚€IoTè¨­è¨ˆ</t>
  </si>
  <si>
    <t>TK9969</t>
  </si>
  <si>
    <t>Arduino (Programmable controller),Electronics--Design and construction--Amateurs' manuals.,Internet of things--Design and construction--Amateurs' manuals.,Raspberry Pi (Computer)</t>
  </si>
  <si>
    <t>æ­¦è—¤ä½³æ­</t>
  </si>
  <si>
    <t>Social Work, Social Justice &amp; Human Rights</t>
  </si>
  <si>
    <t>A Structural Approach to Practice</t>
  </si>
  <si>
    <t>University of Toronto Press, Higher Education Division</t>
  </si>
  <si>
    <t>HV41 .L85 2011eb</t>
  </si>
  <si>
    <t>Social justice.,Social justice--Textbooks.,Social service.,Social service--Textbooks.</t>
  </si>
  <si>
    <t>Lundy, Colleen</t>
  </si>
  <si>
    <t>Tobacco Control</t>
  </si>
  <si>
    <t>POLITICAL SCIENCE / Public Policy / Social Security</t>
  </si>
  <si>
    <t>HV5735</t>
  </si>
  <si>
    <t>Smoking--Government policy--Canada.,Smoking--Government policy--United States.,Tobacco industry--Canada.,Tobacco industry--United States.,Tobacco use--Prevention--Government policy--Canada.,Tobacco use--Prevention--Government policy--United States.</t>
  </si>
  <si>
    <t>Studlar, Donley T.</t>
  </si>
  <si>
    <t>Finance and Development, June 2017</t>
  </si>
  <si>
    <t>International Monetary Fund</t>
  </si>
  <si>
    <t>INTERNATIONAL MONETARY FUND</t>
  </si>
  <si>
    <t>International Monetary Fund. External Relations Dept.,</t>
  </si>
  <si>
    <t>KÃ¶nigsegg VortrÃ¤ge und Forschungen 1993 - 2017</t>
  </si>
  <si>
    <t>DD901.K84 B69 2017</t>
  </si>
  <si>
    <t>Boxler, Horst.</t>
  </si>
  <si>
    <t>Bekehrungen durch mystische Schau: von Th. Mann bis Kierkegaard - Ontologien und Konversionen</t>
  </si>
  <si>
    <t>BV4916.3</t>
  </si>
  <si>
    <t>Conversion--Christianity.,Ontology.</t>
  </si>
  <si>
    <t>Bellers, JuÌˆrgen.-Porsche-Ludwig, Markus.</t>
  </si>
  <si>
    <t>LA TRADICIÃ“N ERÃ“TICA EN LA POESÃA LATINA TARDÃA</t>
  </si>
  <si>
    <t>PN56.L6</t>
  </si>
  <si>
    <t>Erotic poetry, Latin--History and criticism.,Love in literature--History and criticism.,Love poetry, Latin--History and criticism.</t>
  </si>
  <si>
    <t>Martos, Juan.-Moreno Soldevila, Rosario.</t>
  </si>
  <si>
    <t>Studia Classica et Mediaevalia</t>
  </si>
  <si>
    <t>Victimology</t>
  </si>
  <si>
    <t>A Canadian Perspective</t>
  </si>
  <si>
    <t>HV6250.3.C3 W46 2017eb</t>
  </si>
  <si>
    <t>Victims of crimes.,Victims of crimes--Canada.,Victims of crimes--Services for.,Victims of crimes--Services for--Canada.</t>
  </si>
  <si>
    <t>Wemmers, Jo-Anne M.</t>
  </si>
  <si>
    <t>Criminalization, Representation, Regulation</t>
  </si>
  <si>
    <t>HV6807 .C758 2014eb</t>
  </si>
  <si>
    <t>Crime--Canada.,Criminal law--Canada.</t>
  </si>
  <si>
    <t>Brock, Deborah R.-Glasbeek, Amanda-Murdocca, Carmela</t>
  </si>
  <si>
    <t>A Poisoned Past</t>
  </si>
  <si>
    <t>The Life and Times of Margarida De Portu, a Fourteenth-century Accused Poisoner</t>
  </si>
  <si>
    <t>HV6555.F7 B43 2014eb</t>
  </si>
  <si>
    <t>Trials (Murder)--France--14th centruy--History.,Women poisoners--France--14th century--Biography.,Women--France--14th centruy--Legal status, etc.--History.</t>
  </si>
  <si>
    <t>Bednarski, Steven</t>
  </si>
  <si>
    <t>Violence Against Women</t>
  </si>
  <si>
    <t>Myths, Facts, Controversies</t>
  </si>
  <si>
    <t>HV6250.4 .W65 D428 2011</t>
  </si>
  <si>
    <t>Abused women--Psychology.,Violence in men.,Women--Violence against.,Women--Violence against--Canada.</t>
  </si>
  <si>
    <t>DeKeseredy, Walter S.</t>
  </si>
  <si>
    <t>Inequality, Poverty, and Neoliberal Governance</t>
  </si>
  <si>
    <t>Activist Ethnography in the Homeless Sheltering Industry</t>
  </si>
  <si>
    <t>HV4506.N67 L96 2008</t>
  </si>
  <si>
    <t>Equality--United States.,Homelessness--Government policy--United States.,Homelessness--United States.,Poverty--United States.,Shelters for the homeless--United States.</t>
  </si>
  <si>
    <t>Lyon-Callo, Vincent</t>
  </si>
  <si>
    <t>Teaching Culture: UTP Ethnographies for the Classroom</t>
  </si>
  <si>
    <t>Archaeology's Footprints in the Modern World</t>
  </si>
  <si>
    <t>CC165 S324 2017</t>
  </si>
  <si>
    <t>Archaeology and history.,Archaeology--History.,Social archaeology.</t>
  </si>
  <si>
    <t>Schiffer, Michael B.</t>
  </si>
  <si>
    <t>Aesthetics East and West: Philosophy, Music and Art</t>
  </si>
  <si>
    <t>ML3849</t>
  </si>
  <si>
    <t>Art and music.</t>
  </si>
  <si>
    <t>GuÌˆnther, Hans-Christian.</t>
  </si>
  <si>
    <t>East and West</t>
  </si>
  <si>
    <t>Digitale Transformation. Das Playbook</t>
  </si>
  <si>
    <t>Wie Sie Ihr Unternehmen erfolgreich in das digitale Zeitalter fÃ¼hren und die digitale Disruption meistern</t>
  </si>
  <si>
    <t>MITP Verlags GmbH &amp; Co. KG</t>
  </si>
  <si>
    <t>MITP</t>
  </si>
  <si>
    <t>BUSINESS &amp; ECONOMICS / Organizational Behavior</t>
  </si>
  <si>
    <t>HD45</t>
  </si>
  <si>
    <t>Information technology--Management.,New products.,Strategic planning.,Technological innovations--Management.</t>
  </si>
  <si>
    <t>Rogers, David L.-Lichtenberg, Kathrin</t>
  </si>
  <si>
    <t>mitp Business</t>
  </si>
  <si>
    <t>La cancellazione della societaÌ€ dal registro delle imprese</t>
  </si>
  <si>
    <t>profili processuali</t>
  </si>
  <si>
    <t>KKH1050</t>
  </si>
  <si>
    <t>Corporation law--Italy.</t>
  </si>
  <si>
    <t>Dalfino, Domenico.</t>
  </si>
  <si>
    <t>SkejusÌŒ -- SkejusÌŒaneÌ -- SkejusÌŒan</t>
  </si>
  <si>
    <t>RusiÌni v ChomutoveÌŒ : puÌŠvod, historie a soucÌŒasnost</t>
  </si>
  <si>
    <t>DJK28.R87 .M355 2016eb</t>
  </si>
  <si>
    <t>Ruthenians--Czech Republic--Chomutov--Social life and customs.,Ruthenians--History--20th century.</t>
  </si>
  <si>
    <t>MalinovaÌ, Irina-OtcÌŒenaÌsÌŒek, Jaroslav-LendeÌŒlovaÌ, VeÌŒra</t>
  </si>
  <si>
    <t>ElektroencefalografickeÌ korelaÌty pohyboveÌho chovaÌniÌ a vyÌkonnostniÌ zaÌteÌŒzÌŒe</t>
  </si>
  <si>
    <t>MEDICAL / Evidence-Based Medicine</t>
  </si>
  <si>
    <t>RC386.6.E43</t>
  </si>
  <si>
    <t>Electroencephalography.,Motor cortex--Physiology.,Stress (Physiology)</t>
  </si>
  <si>
    <t>PÃ¡nek, David</t>
  </si>
  <si>
    <t>Kapitoly z deÌŒjin chirurgie v cÌŒeskyÌch zemiÌch</t>
  </si>
  <si>
    <t>MEDICAL / Surgery / General</t>
  </si>
  <si>
    <t>RD27.44.C95</t>
  </si>
  <si>
    <t>Medicine--Czechoslovakia.,Surgery--Czechoslovakia--History.</t>
  </si>
  <si>
    <t>SÌŒvaÌb, Jan</t>
  </si>
  <si>
    <t>BalkaÌn ve 20. stoletiÌ</t>
  </si>
  <si>
    <t>DR36 .T453 2016eb</t>
  </si>
  <si>
    <t>Tejchman, Miroslav</t>
  </si>
  <si>
    <t>VERDI COMPANION: 27-Opera Study Guide</t>
  </si>
  <si>
    <t>Opera Journeys Publishing</t>
  </si>
  <si>
    <t>Fisher, Burton D.</t>
  </si>
  <si>
    <t>Bellini's NORMA Opera Study Guide with Libretto</t>
  </si>
  <si>
    <t>Rossini's WILLIAM TELL (Opera Journeys Mini Guide Series)</t>
  </si>
  <si>
    <t>Donizetti's ROBERTO DEVEREAUX (Opera Journeys Mini Guide Series)</t>
  </si>
  <si>
    <t>Medios de comunicaciÃ³n y derecho a la informaciÃ³n en Jalisco, 2016</t>
  </si>
  <si>
    <t>ITESO</t>
  </si>
  <si>
    <t>Graciela Bernal Loaiza</t>
  </si>
  <si>
    <t>Procesos migratorios en el occidente de MÃ©xico</t>
  </si>
  <si>
    <t>Adriana Gonzalez Arias-Olga Aikin Araluce</t>
  </si>
  <si>
    <t>La inclusiÃ³n laboral de las personas con discapacidad. Un estudio comparativo entre EspaÃ±a y MÃ©xico</t>
  </si>
  <si>
    <t>Leticia Celina Velasco Jauregui</t>
  </si>
  <si>
    <t>Finance and Development, September 2016</t>
  </si>
  <si>
    <t>Finance and Development, June 2016</t>
  </si>
  <si>
    <t>chi</t>
  </si>
  <si>
    <t>Wirtliche Ã–konomie</t>
  </si>
  <si>
    <t>Philosophische und dichterische Quellen</t>
  </si>
  <si>
    <t>HB72 .W578 2016eb</t>
  </si>
  <si>
    <t>Economics--Moral and ethical aspects.,Globalization--Germany.,Philosophy--Germany.</t>
  </si>
  <si>
    <t>Gennaro, Ivo De.-Kazmierski, Sergiusz.-LuÌˆfter, Ralf.-Simon, Robert.</t>
  </si>
  <si>
    <t>Elementa Å’conomica</t>
  </si>
  <si>
    <t>Der Dialog der Religionen: Materialisten versus Christen</t>
  </si>
  <si>
    <t>BX1795.M38</t>
  </si>
  <si>
    <t>Materialism--Religious aspects--Catholic Church.</t>
  </si>
  <si>
    <t>Was heiÃŸt "menschlich sein"?</t>
  </si>
  <si>
    <t>B2430.H454 .W556 2017eb</t>
  </si>
  <si>
    <t>Wilmes, Ellen.-Sepp, Hans Rainer.</t>
  </si>
  <si>
    <t>libri virides / D A S J U N G E F O R U M</t>
  </si>
  <si>
    <t>Wer ist der iranische Dichter-Philosoph Saadi?</t>
  </si>
  <si>
    <t>PK6546</t>
  </si>
  <si>
    <t>Persian poetry--747-1500.</t>
  </si>
  <si>
    <t>Sayadani, Ali-Kulturabteilung der Botschaft der Islamischen Republik Iran in Berlin.</t>
  </si>
  <si>
    <t>Spektrum Iran</t>
  </si>
  <si>
    <t>Christliche Bildung und Erziehung heute</t>
  </si>
  <si>
    <t>BV1471.3</t>
  </si>
  <si>
    <t>Christian education.</t>
  </si>
  <si>
    <t>Enders, Markus</t>
  </si>
  <si>
    <t>Schriftenreihe der Bernhard-Welte-Gesellschaft e.V</t>
  </si>
  <si>
    <t>Auf der Suche nach Sein</t>
  </si>
  <si>
    <t>Aphorismen und TrÃ¤ume</t>
  </si>
  <si>
    <t>PN6273</t>
  </si>
  <si>
    <t>Aphorisms and apothegms.</t>
  </si>
  <si>
    <t>Hackel, Rainer</t>
  </si>
  <si>
    <t>DAS PAÃ‘CATANTRA</t>
  </si>
  <si>
    <t>Ein Lehrbuch zur politischen Moral in der Fassung des Tantrakhyayika</t>
  </si>
  <si>
    <t>PK3741.P3</t>
  </si>
  <si>
    <t>Fables, Indic.</t>
  </si>
  <si>
    <t>Richter-Ushanas, Egbert</t>
  </si>
  <si>
    <t>VÄlmÄ«kis RÄmÄyaá¹‡a, Das Leben RÄmas</t>
  </si>
  <si>
    <t>Buch I, Kindheit und Jugend</t>
  </si>
  <si>
    <t>BL1139.22</t>
  </si>
  <si>
    <t>Epic poetry, Sanskrit--Early works to 1800.,Epic poetry, Sanskrit--Early works to 1800--Translations into English.,Hinduism--Sacred books--Early works to 1800.</t>
  </si>
  <si>
    <t>VaÌ„lmiÌ„ki-Richter-Ushanas, Egbert.</t>
  </si>
  <si>
    <t>VaÌ„lmiÌ„kis RaÌ„maÌ„yanÌ£a, das Leben RaÌ„mas</t>
  </si>
  <si>
    <t>Il nuovo sistema ispettivo e il contrasto al lavoro irregolare dopo il Jobs Act</t>
  </si>
  <si>
    <t>KKH1279</t>
  </si>
  <si>
    <t>Employees--Dismissal of--Law and legislation--Italy.,Job security--Law and legislation--Italy.,Labor contract--Italy.,Labor laws and legislation--Italy.</t>
  </si>
  <si>
    <t>Bellomo, Stefano.-De Vita, Alberto.-Esposito, Marco.</t>
  </si>
  <si>
    <t>Hitlers Wehrmacht 1935-1945</t>
  </si>
  <si>
    <t>Rolf-Dieter MÃ¼ller</t>
  </si>
  <si>
    <t>BeitrÃ¤ge zur MilitÃ¤rgeschichte â€“ MilitÃ¤rgeschichte kompakt</t>
  </si>
  <si>
    <t>Die Schreibsprache des Julius Pflug im Konfessionsstreit</t>
  </si>
  <si>
    <t>Schreibsprachanalyse und ein edierter Dialog</t>
  </si>
  <si>
    <t>Corinna Wandt</t>
  </si>
  <si>
    <t>Lingua Historica Germanica</t>
  </si>
  <si>
    <t>Die CharitÃ©</t>
  </si>
  <si>
    <t>Geschichte(n) eines Krankenhauses</t>
  </si>
  <si>
    <t>Johanna Bleker-Volker Hess</t>
  </si>
  <si>
    <t>Von der Chaussee zur Schiene</t>
  </si>
  <si>
    <t>MilitÃ¤rstrategie und Eisenbahnen in PreuÃŸen von 1833 bis zum Feldzug von 1866</t>
  </si>
  <si>
    <t>Klaus-JÃ¼rgen Bremm</t>
  </si>
  <si>
    <t>MilitÃ¤rgeschichtliche Studien</t>
  </si>
  <si>
    <t>Diplomatie fÃ¼r die deutsche Einheit</t>
  </si>
  <si>
    <t>Dokumente des AuswÃ¤rtigen Amts zu den deutsch-sowjetischen Beziehungen 1989/90</t>
  </si>
  <si>
    <t>Andreas Hilger</t>
  </si>
  <si>
    <t>Schriftenreihe der Vierteljahrshefte fÃ¼r Zeitgeschichte</t>
  </si>
  <si>
    <t>Reform, Reorganisation, Transformation</t>
  </si>
  <si>
    <t>Zum Wandel in den deutschen StreitkrÃ¤ften von den preuÃŸischen Heeresreformen bis zur Transformation der Bundeswehr</t>
  </si>
  <si>
    <t>Karl-Heinz Lutz-Martin Rink-Marcus von Salisch</t>
  </si>
  <si>
    <t>Presse und Sprache im 19. Jahrhundert</t>
  </si>
  <si>
    <t>Eine Rekonstruktion des zeitgenÃ¶ssischen Diskurses</t>
  </si>
  <si>
    <t>Tina Theobald</t>
  </si>
  <si>
    <t>Flexibilisierung des industriellen Energiebedarfes</t>
  </si>
  <si>
    <t>Nutzungsgradsteigerung erneuerbarer Energien in Verteilnetzen</t>
  </si>
  <si>
    <t>BUSINESS &amp; ECONOMICS / Real Estate / General</t>
  </si>
  <si>
    <t>TJ807.9.G3 .K475 2017eb</t>
  </si>
  <si>
    <t>Production management.,Renewable energy sources.</t>
  </si>
  <si>
    <t>Khripko, Diana</t>
  </si>
  <si>
    <t>Produktion &amp; Energie</t>
  </si>
  <si>
    <t>Alter(n) und Soziale Nachhaltigkeit</t>
  </si>
  <si>
    <t>InterdisziplinÃ¤re ZugÃ¤nge zu den Herausforderungen alternder Gesellschaften</t>
  </si>
  <si>
    <t>HQ1061 .A484 2017eb</t>
  </si>
  <si>
    <t>Aging--Social aspects.</t>
  </si>
  <si>
    <t>Alisch, M.-Hagspihl, Stephanie-Kreipl, Claudia-Ritter, Martina</t>
  </si>
  <si>
    <t>Gesellschaft und Nachhaltigkeit</t>
  </si>
  <si>
    <t>Die Kasseler Hofbildhauer Heyd â€“ eine AnnÃ¤herung</t>
  </si>
  <si>
    <t>Ludwig Daniel Heyd (1743â€“1801) und Johann Wolfgang Heyd (1749â€“1798)</t>
  </si>
  <si>
    <t>DD193 .S588 2017eb</t>
  </si>
  <si>
    <t>Sculptors--Germany.,Sculpture, German--18th century.</t>
  </si>
  <si>
    <t>Sitt, Martina.</t>
  </si>
  <si>
    <t>Kasseler BeitrÃ¤ge zur Geschichte und Landeskunde</t>
  </si>
  <si>
    <t>Klima- und energieeffiziente Bereitstellung von FlÃ¼ssigaluminium fÃ¼r den DruckgieÃŸprozess</t>
  </si>
  <si>
    <t>TECHNOLOGY &amp; ENGINEERING / Technical &amp; Manufacturing Industries &amp; Trades</t>
  </si>
  <si>
    <t>TD812.5.A48 .B564 2017eb</t>
  </si>
  <si>
    <t>Die-casting.,Liquid aluminum.</t>
  </si>
  <si>
    <t>Bloemen, Kai</t>
  </si>
  <si>
    <t>Praxisratgeber: Von der SISÂ® zur MaÃŸnahmenplanung</t>
  </si>
  <si>
    <t>Formulierungshilfen zu den Themenfeldern â€“ pflegefachliche EinschÃ¤tzung &amp; MaÃŸnahmen. Mit vielen Praxisbeispielen - (teil-)stationÃ¤r &amp; ambulant.</t>
  </si>
  <si>
    <t>RC64</t>
  </si>
  <si>
    <t>Medical protocols.,Nursing--Practice.</t>
  </si>
  <si>
    <t>Hellmann, Stefanie-RoÌˆÃŸlein, Rosa</t>
  </si>
  <si>
    <t>Pflege Kolleg</t>
  </si>
  <si>
    <t>KoraÌb pohaÌdek</t>
  </si>
  <si>
    <t>FICTION / Short Stories (single author)</t>
  </si>
  <si>
    <t>PG5038.B3</t>
  </si>
  <si>
    <t>Sea stories.</t>
  </si>
  <si>
    <t>Bass, Eduard-Korunka, Petr-LandovaÌ, Hedvika</t>
  </si>
  <si>
    <t>NaÌrod dÌŒaÌbluÌŠ</t>
  </si>
  <si>
    <t>ProcÌŒ si nechaÌvaÌme vlaÌdnout?</t>
  </si>
  <si>
    <t>POLITICAL SCIENCE / Reference</t>
  </si>
  <si>
    <t>JN900</t>
  </si>
  <si>
    <t>Democracy--Great Britain.,Democracy--United States.,Obedience--Political aspects--Great Britain.,Obedience--Political aspects--United States.</t>
  </si>
  <si>
    <t>Ringen, Stein</t>
  </si>
  <si>
    <t>VeÌŒrniÌ a rozumniÌ</t>
  </si>
  <si>
    <t>kapitoly o ekologickeÌ zpozdilosti</t>
  </si>
  <si>
    <t>GE196</t>
  </si>
  <si>
    <t>Environmentalism.,Green movement.,Sustainable living.</t>
  </si>
  <si>
    <t>LibrovaÌ, Hana-Laciny, Bohdana.</t>
  </si>
  <si>
    <t>LibrovaÌ, Hana-SlaÌmy, MilosÌŒe.</t>
  </si>
  <si>
    <t>PlastickaÌ a rekonstrukcÌŒniÌ chirurgie</t>
  </si>
  <si>
    <t>RD119</t>
  </si>
  <si>
    <t>Surgery, Plastic.</t>
  </si>
  <si>
    <t>BarÌŒinka, Ladislav</t>
  </si>
  <si>
    <t>VlaÌdkyneÌŒ VsÌŒech NemociÌ: PrÌŒiÌbeÌŒh Rakoviny</t>
  </si>
  <si>
    <t>MEDICAL / Internal Medicine</t>
  </si>
  <si>
    <t>RC275</t>
  </si>
  <si>
    <t>Cancer--History.,Leukemia--History.</t>
  </si>
  <si>
    <t>Mukherjee, Siddhartha.</t>
  </si>
  <si>
    <t>Francesco d'Assisi</t>
  </si>
  <si>
    <t>una nuova biografia</t>
  </si>
  <si>
    <t>Pagina Societa Cooperativa</t>
  </si>
  <si>
    <t>Edizioni di Pagina</t>
  </si>
  <si>
    <t>RELIGION / Christianity / History</t>
  </si>
  <si>
    <t>BX4700.F6 T465 2016</t>
  </si>
  <si>
    <t>Christian saints--Italy--Assisi--Biography.</t>
  </si>
  <si>
    <t>Thompson, Augustine.</t>
  </si>
  <si>
    <t>Storie e memorie</t>
  </si>
  <si>
    <t>Pietre d'acqua</t>
  </si>
  <si>
    <t>taccuino di un'attrice dell'Odin Teatret</t>
  </si>
  <si>
    <t>PN2598.V37</t>
  </si>
  <si>
    <t>Acting.,Actors--Great Britain--Biography.</t>
  </si>
  <si>
    <t>Varley, Julia</t>
  </si>
  <si>
    <t>Visioni teatrali</t>
  </si>
  <si>
    <t>AutoCAD 2018 und LT 2018 fÃ¼r Architekten und Ingenieure</t>
  </si>
  <si>
    <t>T385 .R533 2017eb</t>
  </si>
  <si>
    <t>Computer graphics.,Computer-aided design.</t>
  </si>
  <si>
    <t>Ridder, Detlef.</t>
  </si>
  <si>
    <t>mitp Professional</t>
  </si>
  <si>
    <t>Imaging the Story</t>
  </si>
  <si>
    <t>Rediscovering the Visual and Poetic Contours of Salvation</t>
  </si>
  <si>
    <t>Wipf &amp; Stock Publishers</t>
  </si>
  <si>
    <t>Cascade Books</t>
  </si>
  <si>
    <t>RELIGION / Christian Life / Social Issues</t>
  </si>
  <si>
    <t>NX180.R4 C37 2017eb</t>
  </si>
  <si>
    <t>Christian art and symbolism.,Christianity and art.</t>
  </si>
  <si>
    <t>Case-Green, Karen.-Sakakini, Gill Cudmore.-Taylor, W. David O.</t>
  </si>
  <si>
    <t>Leprosy and Colonialism:</t>
  </si>
  <si>
    <t>Suriname Under Dutch Rule, 1750-1950</t>
  </si>
  <si>
    <t>MEDICAL / History</t>
  </si>
  <si>
    <t>RC154.6.N4</t>
  </si>
  <si>
    <t>Leprosy--Suriname--History.</t>
  </si>
  <si>
    <t>Snelders, Stephen</t>
  </si>
  <si>
    <t>Social Histories of Medicine</t>
  </si>
  <si>
    <t>Mega-events and Social Change</t>
  </si>
  <si>
    <t>Spectacle, Legacy and Public Culture</t>
  </si>
  <si>
    <t>GV712 .R63 2017eb</t>
  </si>
  <si>
    <t>Social change.,Special events--Social aspects.</t>
  </si>
  <si>
    <t>Roche, Maurice</t>
  </si>
  <si>
    <t>Globalizing Sport Studies</t>
  </si>
  <si>
    <t>Bio and Research Ethics:</t>
  </si>
  <si>
    <t>Issues, Perspectives, and Challenges of the 21st Century</t>
  </si>
  <si>
    <t>Nova Science Publishers, Inc.</t>
  </si>
  <si>
    <t>BUSINESS &amp; ECONOMICS / Business Ethics</t>
  </si>
  <si>
    <t>QH332</t>
  </si>
  <si>
    <t>Bioethics.</t>
  </si>
  <si>
    <t>Cole, Marcella C.</t>
  </si>
  <si>
    <t>Ethical Issues in the 21st Century</t>
  </si>
  <si>
    <t>New Approaches in Biological Research</t>
  </si>
  <si>
    <t>SCIENCE / Life Sciences / Biology</t>
  </si>
  <si>
    <t>QH315</t>
  </si>
  <si>
    <t>Biology--Research.</t>
  </si>
  <si>
    <t>Sinha, Rajeshwar P.</t>
  </si>
  <si>
    <t>Biotechnology in Agriculture, Industry and Medicine</t>
  </si>
  <si>
    <t>Ecological and Biogeochemical Cycling in Impacted Polar Ecosystems</t>
  </si>
  <si>
    <t>SCIENCE / Life Sciences / Ecology</t>
  </si>
  <si>
    <t>TD171.5.P65</t>
  </si>
  <si>
    <t>Biogeochemical cycles.,Environmental protection--Polar regions.</t>
  </si>
  <si>
    <t>Bashkin, V. N.</t>
  </si>
  <si>
    <t>Micropollutants</t>
  </si>
  <si>
    <t>Sources, Ecotoxicological Effects and Control Strategies</t>
  </si>
  <si>
    <t>TECHNOLOGY &amp; ENGINEERING / Environmental / General</t>
  </si>
  <si>
    <t>TD196.C45</t>
  </si>
  <si>
    <t>Micropollutants--Environmental aspects.</t>
  </si>
  <si>
    <t>Holloway, Tabitha N.</t>
  </si>
  <si>
    <t>Pollution Science, Technology and Abatement</t>
  </si>
  <si>
    <t>Pioneers of Ecological Humanism</t>
  </si>
  <si>
    <t>Black Rose Books</t>
  </si>
  <si>
    <t>QH540.5</t>
  </si>
  <si>
    <t>Ecology--Philosophy.,Humanism.</t>
  </si>
  <si>
    <t>Morris, Brian</t>
  </si>
  <si>
    <t>The Rise of Cities</t>
  </si>
  <si>
    <t>MontreÌal, Toronto, Vancouver and Other Cities</t>
  </si>
  <si>
    <t>HT127.R482017</t>
  </si>
  <si>
    <t>Cities and towns--Canada.,Municipal government--Canada.,Sociology, Urban--Canada.,Urban policy--Canada.</t>
  </si>
  <si>
    <t>Roussopoulos, Dimitrios I.</t>
  </si>
  <si>
    <t>Manual Nonfatal Strangulation Assessment</t>
  </si>
  <si>
    <t>For Health Care Providers and First Responders</t>
  </si>
  <si>
    <t>STM Learning, Inc.</t>
  </si>
  <si>
    <t>STM Learning</t>
  </si>
  <si>
    <t>RA1071</t>
  </si>
  <si>
    <t>Asphyxia--Diagnosis.</t>
  </si>
  <si>
    <t>Faugno, Diana K.-Trujillo, Angelia Clark-Bachmeier, Barbra A.-Speck, Patricia M.</t>
  </si>
  <si>
    <t>Forensic Learning Series</t>
  </si>
  <si>
    <t>FrÃ¶mmigkeit in der Kirchengeschichte</t>
  </si>
  <si>
    <t>RELIGION / Theology</t>
  </si>
  <si>
    <t>BV4647.P5</t>
  </si>
  <si>
    <t>Piety--History.</t>
  </si>
  <si>
    <t>Jaspert, Bernd.</t>
  </si>
  <si>
    <t>Gerechtigkeit und Unparteilichkeit</t>
  </si>
  <si>
    <t>Eine Orientierung</t>
  </si>
  <si>
    <t>JC578</t>
  </si>
  <si>
    <t>Justice.</t>
  </si>
  <si>
    <t>Tabari, Esfandiar.</t>
  </si>
  <si>
    <t>Was ist Geist?</t>
  </si>
  <si>
    <t>B105.S64</t>
  </si>
  <si>
    <t>Spirit.</t>
  </si>
  <si>
    <t>Smajgert, Robert</t>
  </si>
  <si>
    <t>Edition Freiheit. Bibliothek Lebendiges Wissen</t>
  </si>
  <si>
    <t>Dichtung und Wirtschaft - oder: Die (Brief-)Freundschaft zwischen dem Dichter Ernst Wiechert und dem Ã–konomen Karl William Kapp</t>
  </si>
  <si>
    <t>PT2647.I25 Z48 2017</t>
  </si>
  <si>
    <t>Authors, German--Correspondence.,Economics and literature.,Economists--Correspondence.</t>
  </si>
  <si>
    <t>Berger, Sebastian.</t>
  </si>
  <si>
    <t>Heiter bis unbedenklich</t>
  </si>
  <si>
    <t>Verse, Dialoge und Kurzgeschichten vonne Ruhr</t>
  </si>
  <si>
    <t>PT2706.L45</t>
  </si>
  <si>
    <t>German poetry.</t>
  </si>
  <si>
    <t>Fleitmann, Horst.</t>
  </si>
  <si>
    <t>History, Texts and Art in Early Babylonia</t>
  </si>
  <si>
    <t>Three Essays</t>
  </si>
  <si>
    <t>HISTORY / Middle East / General</t>
  </si>
  <si>
    <t>DS71</t>
  </si>
  <si>
    <t>Art, Assyro-Babylonian.,Civilization, Assyro-Babylonian.</t>
  </si>
  <si>
    <t>Steinkeller, Piotr</t>
  </si>
  <si>
    <t>Studies in Ancient Near Eastern Records (SANER)</t>
  </si>
  <si>
    <t>Galeni vocum Hippocratis Glossarium / Galeno, Interpretazione delle parole difficili di Ippocrate</t>
  </si>
  <si>
    <t>Testo, Traduzione e Note di Commento</t>
  </si>
  <si>
    <t>Perilli Lorenzo</t>
  </si>
  <si>
    <t>Corpus Medicorum Graecorum</t>
  </si>
  <si>
    <t>Creazione di valore e reporting integrato</t>
  </si>
  <si>
    <t>KF26</t>
  </si>
  <si>
    <t>Jurisprudence--Italy.</t>
  </si>
  <si>
    <t>Ferrando, Pier Maria-Francioli, Francesca-Pellicelli, Michela</t>
  </si>
  <si>
    <t>La contrattazione preliminare</t>
  </si>
  <si>
    <t>Dall'inquadramento teorico alle questioni nella pratica giudiziaria</t>
  </si>
  <si>
    <t>KKH858.5.P32</t>
  </si>
  <si>
    <t>Contracts, Preliminary--Italy--Congresses.</t>
  </si>
  <si>
    <t>Benedetti, Alberto Maria.-Capecchi, Marco.-De Matteis, Raffaella.</t>
  </si>
  <si>
    <t>PrinciÌ€pi, regole e sistema. Biblioteca di diritto privato, Sezione Miscellanea</t>
  </si>
  <si>
    <t>Vent'anni di regolazione accentrata di servizi pubblici locali</t>
  </si>
  <si>
    <t>KKH2954</t>
  </si>
  <si>
    <t>Local government--Law and legislation--Italy--History.,Municipal services--Law and legislation--Italy--History.</t>
  </si>
  <si>
    <t>Merusi, Fabio-Antoniazzi, Sandra</t>
  </si>
  <si>
    <t>Quaderni CESIFIN. Nuova serie</t>
  </si>
  <si>
    <t>Le legalitaÌ€ e le crisi della legalitaÌ€</t>
  </si>
  <si>
    <t>K3171</t>
  </si>
  <si>
    <t>Rule of law.</t>
  </si>
  <si>
    <t>Storti, Claudia-SocietaÌ€ italiana di storia del diritto.</t>
  </si>
  <si>
    <t>La gestione delle societaÌ€ partecipate pubbliche alla luce del nuovo Testo Unico</t>
  </si>
  <si>
    <t>verso un nuovo paradigma pubblico-privato : aggiornato con i pareri resi alla Commissione bilancio della Camera dei Deputati e dalla Commissione affari costituzionali del Senato in data 22 maggio 2017 sullo schema di decreto correttivo</t>
  </si>
  <si>
    <t>KKH1056</t>
  </si>
  <si>
    <t>Corporate governance--Law and legislation--Italy.,Industrial management--Italy.</t>
  </si>
  <si>
    <t>Lacchini, Marco.-Mauro, C. Alessio.</t>
  </si>
  <si>
    <t>International Labour Law Handbook</t>
  </si>
  <si>
    <t>From A to Z</t>
  </si>
  <si>
    <t>K1705</t>
  </si>
  <si>
    <t>Labor laws and legislation, International.</t>
  </si>
  <si>
    <t>Arrigo, Gianni.-Casale, Giuseppe.</t>
  </si>
  <si>
    <t>ITCILO World of Work Series</t>
  </si>
  <si>
    <t>Codice di cooperazione giudiziaria penale dell'Unione europea</t>
  </si>
  <si>
    <t>KJE7975 .A435 2017eb</t>
  </si>
  <si>
    <t>Criminal law--European Union countries.</t>
  </si>
  <si>
    <t>Amalfitano, Chiara.</t>
  </si>
  <si>
    <t>Codici dell'Unione europea</t>
  </si>
  <si>
    <t>Il contrasto alla criminalitaÌ€ organizzata</t>
  </si>
  <si>
    <t>contributi di studio</t>
  </si>
  <si>
    <t>KKH4314</t>
  </si>
  <si>
    <t>Corruption--Law and legislation--Italy.,Organized crime--Law and legislation--Italy.</t>
  </si>
  <si>
    <t>Balsamo, Antonio.-Fanchiotti, Vittorio.-Miraglia, Michela.</t>
  </si>
  <si>
    <t>Regioni a statuto speciale e tutela della lingua</t>
  </si>
  <si>
    <t>quale apporto per l'integrazione sociale e politica?</t>
  </si>
  <si>
    <t>KJC5146.L36</t>
  </si>
  <si>
    <t>Language and languages--Law and legislation--Congresses.,Language policy--European Union countries--Congresses.,Linguistic minorities--Legal status, laws, etc.--European Union countries--Congresses.,Linguistic rights--European Union countries--Congresses.</t>
  </si>
  <si>
    <t>Baroncelli, Stefania</t>
  </si>
  <si>
    <t>Entre esferas pÃºblicas y ciudadanÃ­as 2ed Las teorÃ­as de Arent, Habermas y Moffe aplicadas a la comunicaciÃ³n para el cambio social</t>
  </si>
  <si>
    <t>Universidad del Norte, Ediciones Uninorte</t>
  </si>
  <si>
    <t>Universidad del Norte</t>
  </si>
  <si>
    <t>Luis Ricardo Navarro DÃ­az</t>
  </si>
  <si>
    <t>El camino de la crÃ³nica</t>
  </si>
  <si>
    <t>Javier Franco</t>
  </si>
  <si>
    <t>MÃ¡s allÃ¡ de las fronteras</t>
  </si>
  <si>
    <t>Carlos Guzman , Luis Fernando Trejos (compiladores)</t>
  </si>
  <si>
    <t>CÃ³mo funciona el aprendizaje. Siete principios basados en la investigaciÃ³n para una enseÃ±anza inteligente</t>
  </si>
  <si>
    <t>Susan Ambrose, Michele Dipietro, Michael W. Brideges, Marsha Lovett, Marie K Norman</t>
  </si>
  <si>
    <t>Mi dragÃ³n dormido</t>
  </si>
  <si>
    <t>Ana MarÃ­a Trejos Herrera</t>
  </si>
  <si>
    <t>ExclusiÃ³n, mujeres y prisiÃ³n en Colombia.  Un caso en la RegiÃ³n Caribe</t>
  </si>
  <si>
    <t>Francisco JosÃ© Del Pozo Serrano (Compilador)</t>
  </si>
  <si>
    <t>Turismo de  salud. DinÃ¡mica internacional y el caso de Colombia</t>
  </si>
  <si>
    <t>Mario Alberto De La Puente</t>
  </si>
  <si>
    <t>Estado IslÃ¡mico.Una amenaza para la seguridad internacional</t>
  </si>
  <si>
    <t>Janiel David Melamed</t>
  </si>
  <si>
    <t>Â¿QUIÃ‰N ES EL MALO DEL PASEO? LegitimaciÃ³n de la violencia por niÃ±os en contextos de migraciÃ³n forzada</t>
  </si>
  <si>
    <t>Marina BegoÃ±a MartÃ­nez GonzÃ¡lez ,  JosÃ© Juan Amar Amar</t>
  </si>
  <si>
    <t>28 poemas minimalistas</t>
  </si>
  <si>
    <t>Josef AmÃ³n-Mitrani</t>
  </si>
  <si>
    <t>DISEÃ‘O DE SISTEMAS TERMOFLUIDOS Una visiÃ³n integradora</t>
  </si>
  <si>
    <t>NÃ©stor Nabonazar Durango Padilla Antonio JosÃ© Bula Silvera</t>
  </si>
  <si>
    <t>HUMANIZAR LA SALUD. Una propuesta desde el Caribe colombiano. El caso Barranquilla</t>
  </si>
  <si>
    <t>Marjorie ZuÃ±iga Romero</t>
  </si>
  <si>
    <t>TEMAS DE DERECHO PROCESAL Y ADMINISTRACIÃ“N DE JUSTICIA II Mecanismos alternos, procesos judiciales, temas probatorios y procesos administrativos</t>
  </si>
  <si>
    <t>MÃ³nica VÃ¡squez Alfaro</t>
  </si>
  <si>
    <t>AUTODETERMINACIÃ“N INDÃGENA EN COLOMBIA Estudio jurÃ­dico-polÃ­tico del caso de la comunidad MokanÃ¡ de Malambo en el Caribe colombiano</t>
  </si>
  <si>
    <t>Sorily Carolina Figuera Vargas , Juan Pablo Sarmiento Erazo (Editores)</t>
  </si>
  <si>
    <t>Los pueblos palafÃ­ticos de la CiÃ©naga grande de Santa Marta</t>
  </si>
  <si>
    <t>Juan Pablo Sarmiento Erazo</t>
  </si>
  <si>
    <t>EL ROL DE REPRESENTACIÃ“N DE LOS DIPUTADOS FEDERALES EN BRASIL Y MÃ‰XICO</t>
  </si>
  <si>
    <t>Luis Antonio GonzÃ¡lez Tule</t>
  </si>
  <si>
    <t>ACCIÃ“N INTERNACIONAL DE LOS GOBIERNOS LOCALES O NUEVAS FORMAS DE DIPLOMACIA. Una mirada a la experiencia latinoamericana</t>
  </si>
  <si>
    <t>Ãngel Alberto TuirÃ¡n Sarmiento (Editor)</t>
  </si>
  <si>
    <t>Â¿Fin del conflicto armado en Colombia ?- Escenarios de postacuerdo</t>
  </si>
  <si>
    <t>Roberto Gonzalez , Luis Fernando Trejos (Editores)</t>
  </si>
  <si>
    <t>TEXTOS QUE SE LEEN EN LA UNIVERSIDAD Una mirada desde los gÃ©neros discursivos en la Universidad del Norte Textos</t>
  </si>
  <si>
    <t>Margaret Gillian Moss</t>
  </si>
  <si>
    <t>Justicia. Un enfoque transdisciplinar</t>
  </si>
  <si>
    <t>MarÃ­a Lourdes RamÃ­rez Torrado (Editora)</t>
  </si>
  <si>
    <t>ArtrologÃ­a</t>
  </si>
  <si>
    <t>Emilio MartÃ­nez Marrero</t>
  </si>
  <si>
    <t>Gerencia de Marketing</t>
  </si>
  <si>
    <t>Mario Giraldo Oliveros y David Juliao Esparragoza (Editores)</t>
  </si>
  <si>
    <t>Language Contact and Change in Mesoamerica and Beyond</t>
  </si>
  <si>
    <t>John Benjamins Publishing Co.</t>
  </si>
  <si>
    <t>John Benjamins Publishing Company</t>
  </si>
  <si>
    <t>P40.5.L382</t>
  </si>
  <si>
    <t>Indians of Central America--Languages.,Languages in contact--Central America.,Linguistic change--Central America.</t>
  </si>
  <si>
    <t>Dakin, Karen-Parodi, Claudia-Operstein, Natalie</t>
  </si>
  <si>
    <t>Studies in Language Companion Series (SLCS)</t>
  </si>
  <si>
    <t>Non-professional Interpreting and Translation</t>
  </si>
  <si>
    <t>State of the Art and Future of an Emerging Field of Research</t>
  </si>
  <si>
    <t>LANGUAGE ARTS &amp; DISCIPLINES / Translating &amp; Interpreting</t>
  </si>
  <si>
    <t>P306.97.D62</t>
  </si>
  <si>
    <t>Academic writing.,Research.,Translating and interpreting--Documentation.,Translating and interpreting--Research.</t>
  </si>
  <si>
    <t>Antonini, Rachele.-Cirillo, Letizia.-Rossato, Linda.-Torresi, Ira.</t>
  </si>
  <si>
    <t>Benjamins Translation Library</t>
  </si>
  <si>
    <t>Implicitness</t>
  </si>
  <si>
    <t>From Lexis to Discourse</t>
  </si>
  <si>
    <t>LANGUAGE ARTS &amp; DISCIPLINES / Linguistics / Pragmatics</t>
  </si>
  <si>
    <t>P302</t>
  </si>
  <si>
    <t>Discourse analysis.,Implication (Logic),Semantics.</t>
  </si>
  <si>
    <t>Cap, Piotr-Dynel, Marta</t>
  </si>
  <si>
    <t>Pragmatics &amp; Beyond New Series (P&amp;BNS)</t>
  </si>
  <si>
    <t>Mixed Magic</t>
  </si>
  <si>
    <t>Global-local Dialogues in Fairy Tales for Young Readers</t>
  </si>
  <si>
    <t>PN3437</t>
  </si>
  <si>
    <t>Children's literature--History and criticism.,Discourse analysis, Literary.,Fairy tales--Adaptations--History and criticism.,Glocalization.,Intertextuality.,Narration (Rhetoric)--History.,Young adult literature--History and criticism.</t>
  </si>
  <si>
    <t>Gutierrez, Anna Katrina</t>
  </si>
  <si>
    <t>Children's Literature, Culture, and Cognition</t>
  </si>
  <si>
    <t>Inclusive Growth Framework</t>
  </si>
  <si>
    <t>Kireyev, Alexei P-Chen, Jingyan</t>
  </si>
  <si>
    <t>Income Inequality and Education Revisited</t>
  </si>
  <si>
    <t>Coady, David-Dizioli, Alla</t>
  </si>
  <si>
    <t>Structural Reform Packages, Sequencing, and the Informal Economy</t>
  </si>
  <si>
    <t>Munkacsi, Zsuzsa-Saxegaard, Magnu</t>
  </si>
  <si>
    <t>Financial Frictions and the Great Productivity Slowdown</t>
  </si>
  <si>
    <t>Duval, Romain A-Hong, Gee Hee-Timmer, Yannic</t>
  </si>
  <si>
    <t>Policy Uncertainty in Japan</t>
  </si>
  <si>
    <t>Arbatli, Elif C-Davis, Steven J-Ito, Arata-Miake, Naoko-Saito, Iku</t>
  </si>
  <si>
    <t>MS Excel</t>
  </si>
  <si>
    <t>Let's Advance to The Next Level</t>
  </si>
  <si>
    <t>Business Expert Press</t>
  </si>
  <si>
    <t>BUSINESS &amp; ECONOMICS / Management Science</t>
  </si>
  <si>
    <t>HF5548.4.M523</t>
  </si>
  <si>
    <t>Electronic spreadsheets.</t>
  </si>
  <si>
    <t>Singal, Anurag</t>
  </si>
  <si>
    <t>Quantitative Approaches to Decision Making Collection</t>
  </si>
  <si>
    <t>Modernism and the Making of the Soviet New Man</t>
  </si>
  <si>
    <t>ARCHITECTURE / History / Contemporary (1945-)</t>
  </si>
  <si>
    <t>NA1188</t>
  </si>
  <si>
    <t>Modern movement (Architecture)--Soviet Union.,Sex role--Soviet Union--History.</t>
  </si>
  <si>
    <t>Vujosevic, Tijana</t>
  </si>
  <si>
    <t>Handbook of Symptoms in Dogs and Cats</t>
  </si>
  <si>
    <t>Assessing Common Illnesses by Differential Diagnosis</t>
  </si>
  <si>
    <t>International Specialized Book Services</t>
  </si>
  <si>
    <t>5m Publishing</t>
  </si>
  <si>
    <t>TECHNOLOGY &amp; ENGINEERING / Agriculture / Animal Husbandry</t>
  </si>
  <si>
    <t>SF981.S37 H36 2017eb</t>
  </si>
  <si>
    <t>Cats--Diseases--Treatment--Handbooks, manuals, etc.,Dogs--Diseases--Treatment--Handbooks, manuals, etc.,Pet medicine--Handbooks, manuals, etc.,Veterinary medicine--Diagnosis, Physical--Handbooks, manuals, etc.</t>
  </si>
  <si>
    <t>Schrey, Christian F.-Joeken, Heidi</t>
  </si>
  <si>
    <t>The Perfect Human Capital Storm</t>
  </si>
  <si>
    <t>Workplace Human Capital Challenges and Opportunities in the 21st Century: Implications for Organizations and Leaders</t>
  </si>
  <si>
    <t>Information Age Publishing</t>
  </si>
  <si>
    <t>HD4904.7</t>
  </si>
  <si>
    <t>Human capital--Management.,Manpower planning.,Personnel management.</t>
  </si>
  <si>
    <t>MourinÌƒo-Ruiz, Edwin</t>
  </si>
  <si>
    <t>Race Lessons</t>
  </si>
  <si>
    <t>Using Inquiry to Teach About Race in Social Studies</t>
  </si>
  <si>
    <t>HT1506</t>
  </si>
  <si>
    <t>Inquiry-based learning.,Race relations--Study and teaching.,Race--Study and teaching.,Racism--Study and teaching.,Social sciences--Study and teaching.</t>
  </si>
  <si>
    <t>Chandler, Prentice T.-Hawley, Todd S..</t>
  </si>
  <si>
    <t>Teaching and Learning Social Studies</t>
  </si>
  <si>
    <t>Leading Diversity in the 21st Century</t>
  </si>
  <si>
    <t>HF5549.5.M5</t>
  </si>
  <si>
    <t>Communication in management.,Diversity in the workplace.,Leadership.,Personnel management.</t>
  </si>
  <si>
    <t>Scandura, Terri A.-MourinÌƒo, Edwin</t>
  </si>
  <si>
    <t>Physics</t>
  </si>
  <si>
    <t>SCIENCE / Physics / General</t>
  </si>
  <si>
    <t>English Grammar &amp; Punctuation</t>
  </si>
  <si>
    <t>APA Guidelines</t>
  </si>
  <si>
    <t>Thomas Smith</t>
  </si>
  <si>
    <t>Popular Virtue</t>
  </si>
  <si>
    <t>Continuity and Change in Radical Moral Politics, 1820â€“70</t>
  </si>
  <si>
    <t>POLITICAL SCIENCE / Political Ideologies / Radicalism</t>
  </si>
  <si>
    <t>HN400.R3</t>
  </si>
  <si>
    <t>Radicalism--Great Britain--History--19th century.,Working class--Political activity--Great Britain--History--19th century.</t>
  </si>
  <si>
    <t>Scriven, Tom</t>
  </si>
  <si>
    <t>On the Margins</t>
  </si>
  <si>
    <t>Essays on the History of Jews in Estonia</t>
  </si>
  <si>
    <t>CEU Oktatasi - Szolgaltato Nonprofit Kft.</t>
  </si>
  <si>
    <t>Central European University Press</t>
  </si>
  <si>
    <t>HISTORY / Holocaust</t>
  </si>
  <si>
    <t>DS135.E73 W46 2017</t>
  </si>
  <si>
    <t>Holocaust, Jewish (1939-1945)--Estonia.,Jews--Estonia--History.</t>
  </si>
  <si>
    <t>Copular Constructions in Lithuanian</t>
  </si>
  <si>
    <t>LANGUAGE ARTS &amp; DISCIPLINES / Linguistics / Syntax</t>
  </si>
  <si>
    <t>PG8531</t>
  </si>
  <si>
    <t>Construction grammar.,Lithuanian language--Coordinate constructions.,Lithuanian language--Copula.,Lithuanian language--Grammar.</t>
  </si>
  <si>
    <t>Mikulskas, Rolandas</t>
  </si>
  <si>
    <t>Valency, Argument Realization and Grammatical Relations in Baltic (VARGReB)</t>
  </si>
  <si>
    <t>Putting Adpositions in Place</t>
  </si>
  <si>
    <t>Sortal Domains and Modifier PPs in Japanese</t>
  </si>
  <si>
    <t>PL613</t>
  </si>
  <si>
    <t>Japanese language--Grammar.,Japanese language--Syntax.,Japanese language--Word order.</t>
  </si>
  <si>
    <t>Takamine, Kaori</t>
  </si>
  <si>
    <t>Linguistik Aktuell/Linguistics Today</t>
  </si>
  <si>
    <t>Satire, Humor and the Construction of Identities</t>
  </si>
  <si>
    <t>P302.5</t>
  </si>
  <si>
    <t>Discourse analysis, Literary.,Group identity--Social aspects.,Pragmatics.,Social satire.,Wit and humor--History and criticism.</t>
  </si>
  <si>
    <t>Zekavat, Massih</t>
  </si>
  <si>
    <t>Topics in Humor Research</t>
  </si>
  <si>
    <t>To Hell and Back</t>
  </si>
  <si>
    <t>An Anthology of Dante's Inferno in English Translation (1782â€“2017)</t>
  </si>
  <si>
    <t>PQ4315.2</t>
  </si>
  <si>
    <t>Hell--Poetry.</t>
  </si>
  <si>
    <t>Dante Alighieri-Smith, Tim-Sonzogni, Marco</t>
  </si>
  <si>
    <t>Language and Citizenship</t>
  </si>
  <si>
    <t>Broadening the Agenda</t>
  </si>
  <si>
    <t>LANGUAGE ARTS &amp; DISCIPLINES / Linguistics / Psycholinguistics</t>
  </si>
  <si>
    <t>P119.3</t>
  </si>
  <si>
    <t>Citizenship.,Discourse analysis--Political aspects.,Language and languages--Political aspects.,Language policy.,Nationalism.</t>
  </si>
  <si>
    <t>Milani, Tommaso M.</t>
  </si>
  <si>
    <t>Benjamins Current Topics</t>
  </si>
  <si>
    <t>Case Studies in Special Education</t>
  </si>
  <si>
    <t>A Social Justice Perspective</t>
  </si>
  <si>
    <t>Charles C Thomas Publisher</t>
  </si>
  <si>
    <t>Charles C Thomas</t>
  </si>
  <si>
    <t>EDUCATION / Administration / General</t>
  </si>
  <si>
    <t>LC3981 .C39 2017</t>
  </si>
  <si>
    <t>Social justice.,Special education--Social aspects--United States.,Special education--United States--Case studies.</t>
  </si>
  <si>
    <t>Torres, Tera-Barber, Catherine R.</t>
  </si>
  <si>
    <t>Textiles As National Heritage: Identities, Politics and Material Culture</t>
  </si>
  <si>
    <t>Waxmann Verlag GmbH</t>
  </si>
  <si>
    <t>SOCIAL SCIENCE / Customs &amp; Traditions</t>
  </si>
  <si>
    <t>HD9850.5</t>
  </si>
  <si>
    <t>Ethnicity.,Material culture--Algeria.,Material culture--Kazakhstan.,Material culture--Peru.,Material culture--Uzbekistan.,Textile industry--Algeria.,Textile industry--Kazakhstan.,Textile industry--Peru.,Textile industry--Uzbekistan.</t>
  </si>
  <si>
    <t>GABRIELE MENTGES-LOLA SHAMUKHITDINOVA.</t>
  </si>
  <si>
    <t>Zweigliedrigkeit im deutschen Schulsystem</t>
  </si>
  <si>
    <t>Potenziale und Herausforderungen in Berlin</t>
  </si>
  <si>
    <t>EDUCATION / Essays</t>
  </si>
  <si>
    <t>LA775.B5</t>
  </si>
  <si>
    <t>Education, Secondary--Germany--Berlin.,Educational change--Germany--Berlin.</t>
  </si>
  <si>
    <t>Neumann, Marko</t>
  </si>
  <si>
    <t>Similative and Equative Constructions</t>
  </si>
  <si>
    <t>A Cross-linguistic Perspective</t>
  </si>
  <si>
    <t>P293</t>
  </si>
  <si>
    <t>Contrastive linguistics.,Grammar, Comparative and general--Coordinate constructions.,Grammar, Comparative and general--Grammaticalization.,Typology (Linguistics)</t>
  </si>
  <si>
    <t>Treis, Yvonne-Vanhove, Martine</t>
  </si>
  <si>
    <t>Typological Studies in Language</t>
  </si>
  <si>
    <t>Negation and Contact</t>
  </si>
  <si>
    <t>With Special Focus on Singapore English</t>
  </si>
  <si>
    <t>LANGUAGE ARTS &amp; DISCIPLINES / Linguistics / Semantics</t>
  </si>
  <si>
    <t>PE3502.S5</t>
  </si>
  <si>
    <t>English language--Dialects--Singapore--Grammar.,English language--Negatives.,English language--Singapore--Grammar.,English language--Spoken English--Singapore.,Language and culture--Singapore.,Languages in contact--Singapore.</t>
  </si>
  <si>
    <t>Ziegeler, Debra-Zhiming, Bao</t>
  </si>
  <si>
    <t>Boundaries, Phases and Interfaces</t>
  </si>
  <si>
    <t>Case Studies in Honor of Violeta Demonte</t>
  </si>
  <si>
    <t>P158</t>
  </si>
  <si>
    <t>Generative grammar.,Language and languages--Grammar.</t>
  </si>
  <si>
    <t>FernaÌndez Soriano, Olga-MiroÌ, Elena Castroviejo-PeÌrez JimeÌnez, Isabel-Demonte, Violeta</t>
  </si>
  <si>
    <t>Linguistik Aktuell/Linguistics Today (LA)</t>
  </si>
  <si>
    <t>Translation and Interpreting Pedagogy in Dialogue with Other Disciplines</t>
  </si>
  <si>
    <t>P306.5</t>
  </si>
  <si>
    <t>Interdisciplinary approach in education.,Language arts (Higher)--Correlation with content subjects.,Translating and interpreting--Study and teaching.</t>
  </si>
  <si>
    <t>Colina, Sonia-American Translation and Interpreting Studies Association-Angelelli, Claudia</t>
  </si>
  <si>
    <t>PYMES  : IMPLEMENTACIÃ“N DE NORMAS DE INFORMACIÃ“N FINANCIERA INTERNACIONAL</t>
  </si>
  <si>
    <t>Alfredo Borrero PÃ¡ez Olson Ortiz Tovar</t>
  </si>
  <si>
    <t>Memorias de El Prado. Arquitectura y Urbanismo. 1920-1960</t>
  </si>
  <si>
    <t>JesÃºs Ferro Bayona , Rossana Llanos</t>
  </si>
  <si>
    <t>IntroduccioÌn a la geometriÌa</t>
  </si>
  <si>
    <t>MATHEMATICS / Geometry / General</t>
  </si>
  <si>
    <t>QA445</t>
  </si>
  <si>
    <t>Geometry.</t>
  </si>
  <si>
    <t>Rojas AÌlvarez, Carlos Javier</t>
  </si>
  <si>
    <t>Fronteras. Fuentes de conflicto y cooperaciÃ³n</t>
  </si>
  <si>
    <t>Luis Fernando Trejos Roseros (editor)</t>
  </si>
  <si>
    <t>En defensa del Estado de Derecho.  Estudios sobre las tensiones entre la seguridad y la libertad en el mundo de hoy.</t>
  </si>
  <si>
    <t>Viridiana Molinares , Joan Lluis PÃ©rez</t>
  </si>
  <si>
    <t>Contabilidad financiera para contadurÃ­a y administraciÃ³n</t>
  </si>
  <si>
    <t>Calixto Mendoza Roca , Olson Ortiz</t>
  </si>
  <si>
    <t>SociologÃ­a desde el Caribe colombiano. Mirada de un sentipensante/Alfredo Correa de Andreis</t>
  </si>
  <si>
    <t>Jahir Vega (compilador)</t>
  </si>
  <si>
    <t>Selected Early Poems</t>
  </si>
  <si>
    <t>Modern Humanities Research Association (MHRA)</t>
  </si>
  <si>
    <t>Modern Humanities Research Association</t>
  </si>
  <si>
    <t>PR5526 .D47 2017eb</t>
  </si>
  <si>
    <t>English poetry--20th century.</t>
  </si>
  <si>
    <t>Symons, Arthur</t>
  </si>
  <si>
    <t>Jewelled Tortoise</t>
  </si>
  <si>
    <t>Sewage Sludge</t>
  </si>
  <si>
    <t>Assessment, Treatment and Environmental Impact</t>
  </si>
  <si>
    <t>TD767.4</t>
  </si>
  <si>
    <t>Sewage sludge.</t>
  </si>
  <si>
    <t>Danso-Boateng, Eric</t>
  </si>
  <si>
    <t>Chemical Engineering Methods and Technology</t>
  </si>
  <si>
    <t>Advances in Environmental Research</t>
  </si>
  <si>
    <t>QH541.2</t>
  </si>
  <si>
    <t>Environmental degradation.,Environmental protection.,Environmental quality.,Pollution.</t>
  </si>
  <si>
    <t>Daniels, Justin A.</t>
  </si>
  <si>
    <t>Grapes</t>
  </si>
  <si>
    <t>Polyphenolic Composition, Antioxidant Characteristics and Health Benefits</t>
  </si>
  <si>
    <t>GARDENING / Fruit</t>
  </si>
  <si>
    <t>QK495.V55</t>
  </si>
  <si>
    <t>Grapes.,Grapes--Composition.,Grapes--Health aspects.</t>
  </si>
  <si>
    <t>Thomas, Sandra</t>
  </si>
  <si>
    <t>Nutrition and Diet Research Progress</t>
  </si>
  <si>
    <t>Chemical Pollution Control with Microorganisms</t>
  </si>
  <si>
    <t>TD192.5</t>
  </si>
  <si>
    <t>Bioremediation.,Microorganisms.</t>
  </si>
  <si>
    <t>Anjum, Naser A.</t>
  </si>
  <si>
    <t>Tropical Forest, Geospatial Data and REDD+</t>
  </si>
  <si>
    <t>QH541.5.R27</t>
  </si>
  <si>
    <t>Geospatial data.,Rain forest ecology.</t>
  </si>
  <si>
    <t>Avtar, Ram</t>
  </si>
  <si>
    <t>Environmental Remediation Technologies, Regulations and Safety</t>
  </si>
  <si>
    <t>Best Scores Solution to the Catastrophe-bound Environment</t>
  </si>
  <si>
    <t>BUSINESS &amp; ECONOMICS / Infrastructure</t>
  </si>
  <si>
    <t>TD153</t>
  </si>
  <si>
    <t>Environmental protection--International cooperation.,Environmental protection--Statistical methods.</t>
  </si>
  <si>
    <t>Yeung, David W. K.-Petrosiï¸ aï¸¡n, L. A.-Zhang, Yingxuan-Cheung, Francis</t>
  </si>
  <si>
    <t>Environmental Science, Engineering and Technology</t>
  </si>
  <si>
    <t>Exposition of the Apocalypse</t>
  </si>
  <si>
    <t>Catholic University of America Press</t>
  </si>
  <si>
    <t>RELIGION / Christianity / Catholic</t>
  </si>
  <si>
    <t>BS2825 .T54513 2017eb</t>
  </si>
  <si>
    <t>Ticonius-Gumerlock, Francis X.-Robinson, David C.</t>
  </si>
  <si>
    <t>The Fathers of the Church, a New Translation</t>
  </si>
  <si>
    <t>Current Issues in Intercultural Pragmatics</t>
  </si>
  <si>
    <t>P99.4.P72</t>
  </si>
  <si>
    <t>Intercultural communication.,Pragmatics.,Speech acts (Linguistics)</t>
  </si>
  <si>
    <t>KecskeÌs, IstvaÌn-Assimakopoulos, Stavros</t>
  </si>
  <si>
    <t>Pragmatics &amp; Beyond New Series</t>
  </si>
  <si>
    <t>Socio-onomastics</t>
  </si>
  <si>
    <t>The Pragmatics of Names</t>
  </si>
  <si>
    <t>P323.5</t>
  </si>
  <si>
    <t>Discourse analysis.,Language and languages--Etymology.,Names--Social aspects.,Onomastics.,Pragmatics.,Reference (Linguistics),Sociolinguistics.</t>
  </si>
  <si>
    <t>Ainiala, Terhi-OÌˆstman, Jan-Ola</t>
  </si>
  <si>
    <t>Multidisciplinary Approaches to Bilingualism in the Hispanic and Lusophone World</t>
  </si>
  <si>
    <t>Bilingualism--Iberian Peninsula.,Bilingualism--Latin America.,Intercultral communcation--Latin America.,Intercultral communication--Iberian Peninsula.,Languages in contact--Iberian Peninsula.,Languages in contact--Latin America.,Portugese language--Grammar.,Portugese language--Social aspects.,Spanish language--Grammar.,Spanish language--Social aspects.</t>
  </si>
  <si>
    <t>Bellamy, Kate-Child, Michael W.-GonzaÌlez, Paz-Muntendam, Antje-Couto, M. Carmen Parafita</t>
  </si>
  <si>
    <t>Issues in Hispanic and Lusophone Linguistics (IHLL)</t>
  </si>
  <si>
    <t>Without a Doubt</t>
  </si>
  <si>
    <t>An Irish Couple's Journey Through IVF, Adoption and Surrogacy</t>
  </si>
  <si>
    <t>Merrion Press</t>
  </si>
  <si>
    <t>RC889 .W478 2017</t>
  </si>
  <si>
    <t>Adoption--Law and legislation--Ireland.,Fertilization in vitro.,Infertility.,Surrogate motherhood--Law and legislation--India.,Surrogate motherhood--Law and legislation--Ireland.</t>
  </si>
  <si>
    <t>Whyte, Fiona-Malone, SeaÌn</t>
  </si>
  <si>
    <t>International Financial Integration in the Aftermath of the Global Financial Crisis</t>
  </si>
  <si>
    <t>Lane, Philip R.-Milesi-Ferretti, Gian</t>
  </si>
  <si>
    <t>New Zealand: Financial Sector Assessment Program</t>
  </si>
  <si>
    <t>International Monetary Fund.  Monetary-Capital Markets Department,</t>
  </si>
  <si>
    <t>Bank Solvency and Funding Cost</t>
  </si>
  <si>
    <t>Schmitz, Stefan W.-Sigmund, Michael-Valderrama, Laur</t>
  </si>
  <si>
    <t>Debt Sustainability in Low-Income Countries</t>
  </si>
  <si>
    <t>Bal Gunduz, Yasemi</t>
  </si>
  <si>
    <t>Identifying Structural Reform Gaps in Emerging Europe, the Caucasus, and Central Asia</t>
  </si>
  <si>
    <t>Funke, Norbert-Isakova, Asel-Ivanyna, Maksy</t>
  </si>
  <si>
    <t>Monetary Policy Credibility and Exchange Rate Pass-Through</t>
  </si>
  <si>
    <t>Carriere-Swallow, Yan-Gruss, Bertrand-Magud, Nicolas E-Valencia, Fabia</t>
  </si>
  <si>
    <t>Portfolio Inflows and Real Effective Exchange Rates</t>
  </si>
  <si>
    <t>Ouedraogo, Rasman</t>
  </si>
  <si>
    <t>Sovereign Bond Prices, Haircuts and Maturity</t>
  </si>
  <si>
    <t>Asonuma, Tamon-Niepelt, Dirk-Ranciere, Romai</t>
  </si>
  <si>
    <t>Trading with China</t>
  </si>
  <si>
    <t>Ahn, JaeBin-Duval, Romain</t>
  </si>
  <si>
    <t>Riding the Energy Transition</t>
  </si>
  <si>
    <t>Cherif, Reda-Hasanov, Fuad-Pande, Adity</t>
  </si>
  <si>
    <t>Debt Limits and the Structure of Public Debt</t>
  </si>
  <si>
    <t>Pienkowski, Ale</t>
  </si>
  <si>
    <t>The Algebraic Galaxy of Simple Macroeconomic Models</t>
  </si>
  <si>
    <t>Tanner, Evan</t>
  </si>
  <si>
    <t>Disinflation, External Vulnerability, and Fiscal Intransigence</t>
  </si>
  <si>
    <t>Whatâ€™s Different About Bank Holding Companies?</t>
  </si>
  <si>
    <t>Chami, Ralph-Cosimano, Thomas F.-Ma, Jun-Rochon, Celin</t>
  </si>
  <si>
    <t>Labor Market Adjustments to Shocks in Australia</t>
  </si>
  <si>
    <t>Mohommad, Adi</t>
  </si>
  <si>
    <t>Beckoned by the Sea</t>
  </si>
  <si>
    <t>Women at Work on the Cascadia Coast</t>
  </si>
  <si>
    <t>Heritage House Publishing</t>
  </si>
  <si>
    <t>Heritage House</t>
  </si>
  <si>
    <t>HD6100.B75 T39 2017</t>
  </si>
  <si>
    <t>Industries--British Columbia--Pacific Coast.,Industries--California--Pacific Coast.,Women--British Columbia--Pacific Coast--Biography.,Women--California--Pacific Coast--Biography.,Women--Employment--British Columbia--Pacific Coast.,Women--Employment--California--Pacific Coast.</t>
  </si>
  <si>
    <t>Taylor, Sylvia</t>
  </si>
  <si>
    <t>Vidal 2017 le dictionnaire</t>
  </si>
  <si>
    <t>Vidal Vademecum Spain, S.A.</t>
  </si>
  <si>
    <t>Vidal</t>
  </si>
  <si>
    <t>MEDICAL / Pharmacology</t>
  </si>
  <si>
    <t>RS51</t>
  </si>
  <si>
    <t>Drugs--France--Dictionaries.</t>
  </si>
  <si>
    <t>Collectif(Author), VIDAL</t>
  </si>
  <si>
    <t>Revolution Without Revolutionaries</t>
  </si>
  <si>
    <t>Making Sense of the Arab Spring</t>
  </si>
  <si>
    <t>Stanford University Press</t>
  </si>
  <si>
    <t>DS39.3</t>
  </si>
  <si>
    <t>Arab Spring, 2010-,Revolutions--Arab countries.</t>
  </si>
  <si>
    <t>Bayat, Asef</t>
  </si>
  <si>
    <t>Stanford Studies in Middle Eastern and Islamic Societies and Cultures</t>
  </si>
  <si>
    <t>Much Ado About Marduk</t>
  </si>
  <si>
    <t>Questioning Discourses of Royalty in First Millennium Mesopotamian Literature</t>
  </si>
  <si>
    <t>RELIGION / Biblical Criticism &amp; Interpretation / Old Testament</t>
  </si>
  <si>
    <t>Jennifer Finn</t>
  </si>
  <si>
    <t>The Battle for Veteransâ€™ Healthcare</t>
  </si>
  <si>
    <t>Dispatches From the Front Lines of Policy Making and Patient Care</t>
  </si>
  <si>
    <t>Cornell Publishing</t>
  </si>
  <si>
    <t>MEDICAL / Health Policy</t>
  </si>
  <si>
    <t>UB369</t>
  </si>
  <si>
    <t>Veterans--Medical care--United States.</t>
  </si>
  <si>
    <t>Gordon, Suzanne</t>
  </si>
  <si>
    <t>Geist und Buchstabe</t>
  </si>
  <si>
    <t>Zur Edition von Schelers Nachlass in der Ausgabe der Gesammelten Werke</t>
  </si>
  <si>
    <t>B29</t>
  </si>
  <si>
    <t>Philosophy.</t>
  </si>
  <si>
    <t>Henckmann, Wolfhart.</t>
  </si>
  <si>
    <t>Scheleriana</t>
  </si>
  <si>
    <t>Rolf Schilling</t>
  </si>
  <si>
    <t>Apologie eines verkannten Dichters</t>
  </si>
  <si>
    <t>EDUCATION / Reference</t>
  </si>
  <si>
    <t>PT1155</t>
  </si>
  <si>
    <t>Hackel, Rainer.</t>
  </si>
  <si>
    <t>Zeit und Leid</t>
  </si>
  <si>
    <t>Eine phÃ¤nomenologische Analyse des â€žEs warâ€œ von Nietzsche bis Kundera</t>
  </si>
  <si>
    <t>PT1105</t>
  </si>
  <si>
    <t>German literature--20th century.</t>
  </si>
  <si>
    <t>Kaiser, Benjamin</t>
  </si>
  <si>
    <t>Libri virides</t>
  </si>
  <si>
    <t>Wilhelm der Letzte</t>
  </si>
  <si>
    <t>Bilanz Ã¼ber 25 Jahre Regierungszeit Wilhelms II.</t>
  </si>
  <si>
    <t>Ball, Richard.-Chamba, Nathalie.-Demm, Eberhard.</t>
  </si>
  <si>
    <t>MindManager 2017</t>
  </si>
  <si>
    <t>Mindmapping | Visualisierung | Selbstmanagement</t>
  </si>
  <si>
    <t>PSYCHOLOGY / Cognitive Psychology &amp; Cognition</t>
  </si>
  <si>
    <t>BF449</t>
  </si>
  <si>
    <t>Decision making--Graphic methods.,Problem solving--Graphic methods.,Success in business.</t>
  </si>
  <si>
    <t>Lercher, Andreas</t>
  </si>
  <si>
    <t>mitp Anwendungen</t>
  </si>
  <si>
    <t>DomovskyÌ prÌŒiÌstav Praha</t>
  </si>
  <si>
    <t>cÌŒeskoslovenskaÌ naÌmorÌŒniÌ plavba v letech 1948 azÌŒ 1989</t>
  </si>
  <si>
    <t>TRANSPORTATION / Ships &amp; Shipbuilding / Pictorial</t>
  </si>
  <si>
    <t>HE832.3 .K73 2016</t>
  </si>
  <si>
    <t>Merchant marine--Czechoslovakia--History.,Shipping--Czechoslovakia--History.</t>
  </si>
  <si>
    <t>KrÃ¡tkÃ¡, Lenka</t>
  </si>
  <si>
    <t>OraÌlniÌ historie a soudobeÌ deÌŒjiny</t>
  </si>
  <si>
    <t>PerifrastickeÌ konstrukce v portugalsÌŒtineÌŒ</t>
  </si>
  <si>
    <t>FOREIGN LANGUAGE STUDY / Portuguese</t>
  </si>
  <si>
    <t>PC5169</t>
  </si>
  <si>
    <t>Portuguese language--Verb phrase.</t>
  </si>
  <si>
    <t>JindrovÃ¡, Jaroslava</t>
  </si>
  <si>
    <t>TrÌŒi studie o trestniÌm praÌvu v cÌŒeskyÌch zemiÌch v 17. a v prvniÌ polovineÌŒ 18. stoletiÌ</t>
  </si>
  <si>
    <t>KJP5009.3 .M35 2016</t>
  </si>
  <si>
    <t>Criminal justice, Administration of--Czech Republic--Bohemia--History--17th century.,Criminal justice, Administration of--Czech Republic--Bohemia--History--18th century.,Criminal law--Czech Republic--Bohemia--History--17th century.,Criminal law--Czech Republic--Bohemia--History--18th century.,Criminal procedure--Czech Republic--Bohemia--History--17th century.,Criminal procedure--Czech Republic--Bohemia--History--18th century.</t>
  </si>
  <si>
    <t>MalÃ½, Karel</t>
  </si>
  <si>
    <t>NaÌvraty</t>
  </si>
  <si>
    <t>povaÌlecÌŒnaÌ rekonstrukce zÌŒidovskyÌch komunit v zemiÌch strÌŒedovyÌchodniÌ jihovyÌchodniÌ a vyÌchodniÌ Evropy</t>
  </si>
  <si>
    <t>DS134 .N38 2016</t>
  </si>
  <si>
    <t>Holocaust survivors--Europe, Central.,Holocaust survivors--Europe, Eastern.,Jews--Europe, Central--20th century.,Jews--Europe, Eastern--20th century.</t>
  </si>
  <si>
    <t>KraÌlovaÌ, KaterÌŒina-KubaÌtovaÌ, Hana</t>
  </si>
  <si>
    <t>Signs From Silence</t>
  </si>
  <si>
    <t>Ur of the First Sumerians</t>
  </si>
  <si>
    <t>HISTORY / Civilization</t>
  </si>
  <si>
    <t>DS72</t>
  </si>
  <si>
    <t>Silence.</t>
  </si>
  <si>
    <t>CharvaÌt, Petr.</t>
  </si>
  <si>
    <t>Enabling Human Conduct</t>
  </si>
  <si>
    <t>Studies of Talk-in-interaction in Honor of Emanuel A. Schegloff</t>
  </si>
  <si>
    <t>P95.45</t>
  </si>
  <si>
    <t>Conversation analysis.,Conversation analysis--Cross-cultural studies.,Conversation analysis--Social aspects.,Human communication.,Social interaction.</t>
  </si>
  <si>
    <t>Schegloff, Emanuel A.-Raymond, Geoffrey-Lerner, Gene H.-Heritage, John</t>
  </si>
  <si>
    <t>Antifundamentalism in Modern America</t>
  </si>
  <si>
    <t>BL238</t>
  </si>
  <si>
    <t>Religion and politics--United States.,Religious fundamentalism--History.,Religious fundamentalism--United States--History.</t>
  </si>
  <si>
    <t>Watt, David Harrington</t>
  </si>
  <si>
    <t>Hell and Its Rivals</t>
  </si>
  <si>
    <t>Death and Retribution Among Christians, Jews, and Muslims in the Early Middle Ages</t>
  </si>
  <si>
    <t>BL545</t>
  </si>
  <si>
    <t>Hell--Christianity--History of doctrines--Middle Ages, 600-1500.,Hell--Comparative studies.,Hell--Islam--History of doctrines--Middle Ages, 600-1500.,Hell--Judaism--History of doctrines--Middle Ages, 600-1500.</t>
  </si>
  <si>
    <t>Bernstein, Alan E.</t>
  </si>
  <si>
    <t>China Pension Report</t>
  </si>
  <si>
    <t>The Top Level Design of the Third Pillar Pension System in China</t>
  </si>
  <si>
    <t>Paths International Ltd.</t>
  </si>
  <si>
    <t>HD7105.45.C6</t>
  </si>
  <si>
    <t>Pensions--China.</t>
  </si>
  <si>
    <t>Bingwen, Zheng</t>
  </si>
  <si>
    <t>The Indissolubility of Marriage and the Council of Trent</t>
  </si>
  <si>
    <t>BX2250 .B78 2017eb</t>
  </si>
  <si>
    <t>Marriage--Religious aspects--Catholic Church--History--16th century.</t>
  </si>
  <si>
    <t>Brugger, E. Christian</t>
  </si>
  <si>
    <t>Africa at the Crossroads</t>
  </si>
  <si>
    <t>Theorising Fundamentalisms in the 21st Century</t>
  </si>
  <si>
    <t>Langaa RPCIG</t>
  </si>
  <si>
    <t>SOCIAL SCIENCE / Regional Studies</t>
  </si>
  <si>
    <t>DT14</t>
  </si>
  <si>
    <t>Nhemachena, Artwell.-Mawere, Munyaradzi.</t>
  </si>
  <si>
    <t>Archives, Objects, Places and Landscapes</t>
  </si>
  <si>
    <t>Multidisciplinary Approaches to Decolonised Zimbabwean Pasts</t>
  </si>
  <si>
    <t>DT2906</t>
  </si>
  <si>
    <t>Manyanga, Munyaradzi.-Chirikure, Shadreck.</t>
  </si>
  <si>
    <t>Echoes of a Whisper</t>
  </si>
  <si>
    <t>POETRY / African</t>
  </si>
  <si>
    <t>PS3570.E435</t>
  </si>
  <si>
    <t>Poetry--21st century.</t>
  </si>
  <si>
    <t>Mwangwegho, Lughano</t>
  </si>
  <si>
    <t>Campground</t>
  </si>
  <si>
    <t>POETRY / American / African American</t>
  </si>
  <si>
    <t>PS3602.U76637</t>
  </si>
  <si>
    <t>American fiction--21st century.,American poetry--21st century.</t>
  </si>
  <si>
    <t>Burns, Loretta Susie</t>
  </si>
  <si>
    <t>Regenerating Africa</t>
  </si>
  <si>
    <t>Bringing African Solutions to African Problems</t>
  </si>
  <si>
    <t>Africa Institute of South Africa</t>
  </si>
  <si>
    <t>DT30.5</t>
  </si>
  <si>
    <t>Oloruntoba, Samuel-Muchie, Mammo-Gumede, Vusi-Check, Nicasius Achu</t>
  </si>
  <si>
    <t>ã‚°ãƒ©ãƒ•ãƒ»ãƒãƒƒãƒˆãƒ¯ãƒ¼ã‚¯ã‚¢ãƒ«ã‚´ãƒªã‚ºãƒ ã®åŸºç¤Ž</t>
  </si>
  <si>
    <t>æ•°ç†ã¨Cãƒ—ãƒ­ã‚°ãƒ©ãƒ </t>
  </si>
  <si>
    <t>COMPUTERS / Programming / Algorithms</t>
  </si>
  <si>
    <t>QA76.9.A43</t>
  </si>
  <si>
    <t>C (Computer program language),Computer algorithms.,Computer algorithms--Problems, exercises, etc.,Graph algorithms.,Graph algorithms--Problems, exercises, etc.</t>
  </si>
  <si>
    <t>æµ…é‡Žå­å¤«</t>
  </si>
  <si>
    <t>Learning in the Age of Immediacy</t>
  </si>
  <si>
    <t>5 Factors for How We Connect, Communicate, and Get Work Done</t>
  </si>
  <si>
    <t>Association for Talent Development</t>
  </si>
  <si>
    <t>Association For Talent Development</t>
  </si>
  <si>
    <t>HD30.3</t>
  </si>
  <si>
    <t>Communication in organizations.</t>
  </si>
  <si>
    <t>Carson, Brandon-Masie, Elliott</t>
  </si>
  <si>
    <t>Unstoppable You</t>
  </si>
  <si>
    <t>Adopt the New Learning 4.0 Mindset and Change Your Life</t>
  </si>
  <si>
    <t>HD58.82</t>
  </si>
  <si>
    <t>Learning--Evaluation.,Organizational learning.,Self-managed learning.</t>
  </si>
  <si>
    <t>A., Patricia McLagan.</t>
  </si>
  <si>
    <t>Sexual Assault Victimization Across the Life Span 2e, Volume 3</t>
  </si>
  <si>
    <t>Special Settings and Survivor Populations</t>
  </si>
  <si>
    <t>RC560.S44</t>
  </si>
  <si>
    <t>Child sexual abuse.,Sex crimes.,Sexual abuse victims.,Sexually abused children.</t>
  </si>
  <si>
    <t>Giardino, Angelo P.-Faugno, Diana K.-Spencer, Mary J.-Weaver, Michael L.-Speck, Patricia M.</t>
  </si>
  <si>
    <t>Sexual Assault Victimization Across the Life Span</t>
  </si>
  <si>
    <t>Sexual Assault Victimization Across the Life Span 2e, Volume 2</t>
  </si>
  <si>
    <t>Evaluation of Children and Adults</t>
  </si>
  <si>
    <t>Sexual Assault Victimization Across the Life Span 2e, Volume 1</t>
  </si>
  <si>
    <t>Investigation, Diagnosis, and the Multidisciplinary Team</t>
  </si>
  <si>
    <t>Nuevos entornos, nueva carne. ReconfiguraciÃ³n y personalizaciÃ³n tecnolÃ³gica de la cultura</t>
  </si>
  <si>
    <t>Naief Yehya Abolhosen</t>
  </si>
  <si>
    <t>Hacia una teologÃ­a desde la realidad de las migraciones. MÃ©todo y desafÃ­os</t>
  </si>
  <si>
    <t>Gioacchino Campese</t>
  </si>
  <si>
    <t>Recrear la solidaridad en tiempos de mundializaciÃ³n. CiudadanÃ­a, vecindad y fraternidad</t>
  </si>
  <si>
    <t>JoaquÃ­n GarcÃ­a Roca</t>
  </si>
  <si>
    <t>Propuestas para una globalizaciÃ³n mÃ¡s humana</t>
  </si>
  <si>
    <t>Luis de SebastiÃ¡n</t>
  </si>
  <si>
    <t>Para la libertad nos ha liberado. Acercamientos para desatar los nudos de la expiaciÃ³n y de la conciencia gay</t>
  </si>
  <si>
    <t>James Alison</t>
  </si>
  <si>
    <t>La bioÃ©tica: un camino para el presente</t>
  </si>
  <si>
    <t>Ignacio NÃºÃ±ez de Castro</t>
  </si>
  <si>
    <t>FilosofiÌa de la religioÌn</t>
  </si>
  <si>
    <t>BL51</t>
  </si>
  <si>
    <t>God.,Religion--Philosophy.</t>
  </si>
  <si>
    <t>Beuchot, Mauricio.</t>
  </si>
  <si>
    <t>Derechos humanos, ciudadaniÌa y paz</t>
  </si>
  <si>
    <t>ConstruccioÌn de la democracia en MeÌxico</t>
  </si>
  <si>
    <t>JL1283</t>
  </si>
  <si>
    <t>Citizenship--Mexico.,Democracy--Mexico.,Human rights--Mexico.,Political participation--Mexico.,Social participation--Mexico.</t>
  </si>
  <si>
    <t>Alvarez-Icaza Longoria, Emilio-Barreras, Imelda NoemiÌ GonzaÌlez</t>
  </si>
  <si>
    <t>CaÌtedra Eusebio Francisco Kino</t>
  </si>
  <si>
    <t>Van mensen en muizen</t>
  </si>
  <si>
    <t>Vijftig jaar Nederlandstalige Faculteit Geneeskunde aan de Leuvense universiteit</t>
  </si>
  <si>
    <t>Leuven University Press</t>
  </si>
  <si>
    <t>HISTORY / Study &amp; Teaching</t>
  </si>
  <si>
    <t>R781.K38 N97 2016eb</t>
  </si>
  <si>
    <t>Medical education--Belgium--History.</t>
  </si>
  <si>
    <t>dut</t>
  </si>
  <si>
    <t>Nys, Liesbet.-Project Muse.</t>
  </si>
  <si>
    <t>Book collections on Project MUSE</t>
  </si>
  <si>
    <t>A Field Guide to Spiders of Australia</t>
  </si>
  <si>
    <t>CSIRO Publishing</t>
  </si>
  <si>
    <t>CSIRO PUBLISHING</t>
  </si>
  <si>
    <t>SCIENCE / Life Sciences / Zoology / General</t>
  </si>
  <si>
    <t>QL458.4173 .W49 2017</t>
  </si>
  <si>
    <t>Arachnida--Australia--Identification.,Spiders--Australia.,Spiders--Australia--Identification.,Spiders--Habitat--Australia.</t>
  </si>
  <si>
    <t>Whyte, Robert-Anderson, Greg-Commonwealth Scientific and Industrial Research Organization (Australia)</t>
  </si>
  <si>
    <t>Art, Education, and Cultural Renewal</t>
  </si>
  <si>
    <t>Essays in Reformational Philosophy</t>
  </si>
  <si>
    <t>McGill-Queen's University Press</t>
  </si>
  <si>
    <t>MQUP</t>
  </si>
  <si>
    <t>BR100 .Z82 2017eb</t>
  </si>
  <si>
    <t>Art--Philosophy.,Christianity--Philosophy.,Education, Higher--Philosophy.,Popular culture--Philosophy.,Reformation.</t>
  </si>
  <si>
    <t>Zuidervaart, Lambert</t>
  </si>
  <si>
    <t>Grand Adventure</t>
  </si>
  <si>
    <t>The Lives of Helge and Anne Stine Ingstad and Their Discovery of a Viking Settlement in North America</t>
  </si>
  <si>
    <t>DL445.7.I54 I5413 2017eb</t>
  </si>
  <si>
    <t>Archaeologists--Norway--Biography.,Explorers--Norway--Biography.</t>
  </si>
  <si>
    <t>Ingstad, Benedicte</t>
  </si>
  <si>
    <t>Veterinary Medical School Admission Requirements (VMSAR)</t>
  </si>
  <si>
    <t>2017 Edition for 2018 Matriculation</t>
  </si>
  <si>
    <t>Baker &amp; Taylor Publisher Services (BTPS)</t>
  </si>
  <si>
    <t>Purdue University Press</t>
  </si>
  <si>
    <t>MEDICAL / Veterinary Medicine / General</t>
  </si>
  <si>
    <t>Association of American Veterinary Medical Colleges</t>
  </si>
  <si>
    <t>Scattering the Seeds of Knowledge</t>
  </si>
  <si>
    <t>The Words and Works of Indianaâ€™s Pioneer County Extension Agents</t>
  </si>
  <si>
    <t>HISTORY / United States / State &amp; Local / Midwest (IA, IL, IN, KS, MI, MN, MO, ND, NE, OH, SD, WI)</t>
  </si>
  <si>
    <t>Frederick Whitford</t>
  </si>
  <si>
    <t>The Founders Series</t>
  </si>
  <si>
    <t>Shaken Authority</t>
  </si>
  <si>
    <t>China's Communist Party and the 2008 Sichuan Earthquake</t>
  </si>
  <si>
    <t>POLITICAL SCIENCE / Political Ideologies / Communism, Post-Communism &amp; Socialism</t>
  </si>
  <si>
    <t>HV600 2008.W46</t>
  </si>
  <si>
    <t>Earthquake relief--China--Wenchuan Xian (Sichuan Sheng),Emergency management--China--Wenchuan Xian (Sichuan Sheng),Wenchuan Earthquake, China, 2008.</t>
  </si>
  <si>
    <t>Sorace, Christian P.</t>
  </si>
  <si>
    <t>Sustainable Leadership</t>
  </si>
  <si>
    <t>How to Lead in a VUCA World</t>
  </si>
  <si>
    <t>Primento</t>
  </si>
  <si>
    <t>Die Keure Publishing</t>
  </si>
  <si>
    <t>BUSINESS &amp; ECONOMICS / Entrepreneurship</t>
  </si>
  <si>
    <t>HD30.23</t>
  </si>
  <si>
    <t>Business.,Decision making.,Leadership.,Operations research.,Organization.,Planning.</t>
  </si>
  <si>
    <t>Ducheyne, David</t>
  </si>
  <si>
    <t>Lean Smarketing</t>
  </si>
  <si>
    <t>An Introduction to the Integration of Marketing and Sales</t>
  </si>
  <si>
    <t>BUSINESS &amp; ECONOMICS / Commerce</t>
  </si>
  <si>
    <t>HF5415 .R54 2017eb</t>
  </si>
  <si>
    <t>Marketing.,Sales.</t>
  </si>
  <si>
    <t>Riet, Nikolaas van</t>
  </si>
  <si>
    <t>Die Gedichte Walthers von der Vogelweide</t>
  </si>
  <si>
    <t>LITERARY COLLECTIONS / Medieval</t>
  </si>
  <si>
    <t>Walther von der Vogelweide</t>
  </si>
  <si>
    <t>Altdeutsche Textbibliothek</t>
  </si>
  <si>
    <t>Kudrun</t>
  </si>
  <si>
    <t>Barend Symons-Bruno Boesch</t>
  </si>
  <si>
    <t>Helmbrecht</t>
  </si>
  <si>
    <t>Wernher der GartenÃ¦re-Friedrich Panzer-Kurt Ruh</t>
  </si>
  <si>
    <t>La Austrialia Del EspÃ­ritu Santo</t>
  </si>
  <si>
    <t>The Journal of Fray Martin De Munilla O.F.M. And Other Documents Relating to The Voyage of Pedro FernÃ¡ndez De QuirÃ³s to the South Sea (1605-1606) and the Franciscan Missionary Plan (1617-1627)</t>
  </si>
  <si>
    <t>Taylor &amp; Francis (CAM)</t>
  </si>
  <si>
    <t>Hakluyt Society</t>
  </si>
  <si>
    <t>HISTORY / Modern / 17th Century</t>
  </si>
  <si>
    <t>G286.Q4 .A978 2017eb</t>
  </si>
  <si>
    <t>Kelly, Celsus-Parsonson, G. R.</t>
  </si>
  <si>
    <t>La Austrialia Del EspiÌritu Santo</t>
  </si>
  <si>
    <t>The Good Child</t>
  </si>
  <si>
    <t>Moral Development in a Chinese Preschool</t>
  </si>
  <si>
    <t>BF723.M54 X8 2017eb</t>
  </si>
  <si>
    <t>Child development--China--Shanghai.,Moral development--China--Shanghai.,Moral education (Preschool)--China--Shanghai.,Preschool children--China--Shanghai--Conduct of life.</t>
  </si>
  <si>
    <t>Xu, Jing</t>
  </si>
  <si>
    <t>Social Science and Sustainability</t>
  </si>
  <si>
    <t>H61</t>
  </si>
  <si>
    <t>Social sciences.,Sustainability.</t>
  </si>
  <si>
    <t>Schandl, Heinz-Commonwealth Scientific and Industrial Research Organization (Australia)-Walker, Iain</t>
  </si>
  <si>
    <t>Economic Zooarchaeology</t>
  </si>
  <si>
    <t>Studies in Hunting, Herding and Early Agriculture</t>
  </si>
  <si>
    <t>Oxbow Books</t>
  </si>
  <si>
    <t>CC79.5.A5 E29 2017</t>
  </si>
  <si>
    <t>Animal remains (Archaeology),Economics, Prehistoric.</t>
  </si>
  <si>
    <t>Rowley-Conwy, Peter-Serjeantson, D.-Halstead, Paul</t>
  </si>
  <si>
    <t>Inklusion: Profile fÃ¼r die Schul- und Unterrichtsentwicklung in Deutschland, Ã–sterreich und der Schweiz</t>
  </si>
  <si>
    <t>Theoretische Grundlagen â€“ Empirische Befunde â€“ Praxisbeispiele</t>
  </si>
  <si>
    <t>LC1200</t>
  </si>
  <si>
    <t>Inclusive education.</t>
  </si>
  <si>
    <t>LuÌˆtje-Klose, Birgit.-Miller, Susanne.-Schwab, Susanne.-Streese, Bettina.</t>
  </si>
  <si>
    <t>BeitraÌˆge zur Bildungsforschung</t>
  </si>
  <si>
    <t>Konzeptionelle Spannungsfelder des Klassenmusizierens mit Blasinstrumenten</t>
  </si>
  <si>
    <t>Eine Analyse divergenter PrÃ¤missen und Zielvorstellungen</t>
  </si>
  <si>
    <t>MUSIC / Musical Instruments / Woodwinds</t>
  </si>
  <si>
    <t>MT339 .H37 2017eb</t>
  </si>
  <si>
    <t>Wind instruments--Instruction and study.</t>
  </si>
  <si>
    <t>CARMEN HE.</t>
  </si>
  <si>
    <t>Perspektiven musikpÃ¤dagogischer Forschung</t>
  </si>
  <si>
    <t>Begabungen und FÃ¤higkeiten durch WertschÃ¤tzung fÃ¶rdern</t>
  </si>
  <si>
    <t>Impulse aus der PfadfinderpÃ¤dagogik</t>
  </si>
  <si>
    <t>PSYCHOLOGY / General</t>
  </si>
  <si>
    <t>BF723.A25</t>
  </si>
  <si>
    <t>Ability in children.,Education.,Effective teaching.</t>
  </si>
  <si>
    <t>Tetzner, Gabriel</t>
  </si>
  <si>
    <t>BeitraÌˆge zur Kinder- und Jugendtheologie W-WertschaÌˆtzung ; Band 37</t>
  </si>
  <si>
    <t>Rechtliche GewÃ¤hrleistung eines hohen Schutzniveaus bei Nanomaterialien in REACH</t>
  </si>
  <si>
    <t>Defizitanalyse und Gestaltungsoptionen</t>
  </si>
  <si>
    <t>TA418.9.N35</t>
  </si>
  <si>
    <t>Nanostructured materials.,Nanotechnology--Safety measures.</t>
  </si>
  <si>
    <t>Schenten, Julian</t>
  </si>
  <si>
    <t>Forum Wirtschaftsrecht</t>
  </si>
  <si>
    <t>Berechnungsmethodik zur Beurteilung von mechatronischen Bauteilen unter groÃŸen Temperaturschwankungen</t>
  </si>
  <si>
    <t>TECHNOLOGY &amp; ENGINEERING / Chemical &amp; Biochemical</t>
  </si>
  <si>
    <t>TS1925</t>
  </si>
  <si>
    <t>Elastomers--Effect of temperature on.,Mechatronics.,Silicone rubber--Effect of temperature on.</t>
  </si>
  <si>
    <t>Obermann, Patrick</t>
  </si>
  <si>
    <t>Schriftenreihe des Fachgebiets fuÌˆr Mechatronik mit dem Schwerpunkt Fahrzeuge</t>
  </si>
  <si>
    <t>Do I Belong?</t>
  </si>
  <si>
    <t>Reflections From Europe</t>
  </si>
  <si>
    <t>HISTORY / Europe / Western</t>
  </si>
  <si>
    <t>D2021 .D6 2017eb</t>
  </si>
  <si>
    <t>Belonging (Social psychology)--Europe.,Cultural pluralism--Europe.,Nationalism--Europe.</t>
  </si>
  <si>
    <t>Lerman, Antony</t>
  </si>
  <si>
    <t>On the Arab-Jew, Palestine, and Other Displacements</t>
  </si>
  <si>
    <t>Selected Writings of Ella Shohat</t>
  </si>
  <si>
    <t>DS113.8.S4 S56 2017</t>
  </si>
  <si>
    <t>Mizrahim--Cultural assimilation--Palestine.</t>
  </si>
  <si>
    <t>Shohat, Ella.</t>
  </si>
  <si>
    <t>Sonic Intimacy</t>
  </si>
  <si>
    <t>Voice, Species, Technics (or, How To Listen to the World)</t>
  </si>
  <si>
    <t>PHILOSOPHY / Movements / Phenomenology</t>
  </si>
  <si>
    <t>B105.L54</t>
  </si>
  <si>
    <t>Listening (Philosophy),Sound (Philosophy),Voice (Philosophy)</t>
  </si>
  <si>
    <t>Pettman, Dominic</t>
  </si>
  <si>
    <t>West African Economic and Monetary Union</t>
  </si>
  <si>
    <t>International Monetary Fund. African Dept.,</t>
  </si>
  <si>
    <t>Multivariate Filter Estimation of Potential Output for the United States</t>
  </si>
  <si>
    <t>Alichi, Ali-Bizimana, Olivier-Laxton, Douglas-Tanyeri, Kadir-Wang, Hou-Yao, Jiaxiong-Zhang, Fa</t>
  </si>
  <si>
    <t>Revenue Administration</t>
  </si>
  <si>
    <t>Mc Laughlin, Lucilla-Buchanan, Joh</t>
  </si>
  <si>
    <t>Fiscal Challenges of Population Aging in Brazil</t>
  </si>
  <si>
    <t>Cuevas, Alfredo-Karpowicz, Izabela-Mulas-Granados, Carlos-Soto, Maurici</t>
  </si>
  <si>
    <t>Evaluating the Impact of Non-Financial IMF Programs Using the Synthetic Control Method</t>
  </si>
  <si>
    <t>Newiak, Monique-Willems, Ti</t>
  </si>
  <si>
    <t>Long-Run Biological Interest Rate for Pay-As-You-Go Pensions in Advanced and Developing Countries</t>
  </si>
  <si>
    <t>Nozaki, Masahir</t>
  </si>
  <si>
    <t>Investing in Public Infrastructure</t>
  </si>
  <si>
    <t>Atolia, Manoj-Li, Bin Grace-Marto, Ricardo-Melina, Giovann</t>
  </si>
  <si>
    <t>Variance Decomposition Networks</t>
  </si>
  <si>
    <t>Chan-Lau, Jorge A</t>
  </si>
  <si>
    <t>Farms, Fertiliser, and Financial Frictions</t>
  </si>
  <si>
    <t>Walker, SÃ©bastie</t>
  </si>
  <si>
    <t>Central Bank Legal Frameworks in the Aftermath of the Global Financial Crisis</t>
  </si>
  <si>
    <t>Khan, Ashra</t>
  </si>
  <si>
    <t>Revisiting the Potential Impact to the Rest of the Caribbean From Opening US-Cuba Tourism</t>
  </si>
  <si>
    <t>Acevedo Mejia, Sebastian-Alleyne, Trevor Serge Coleridge-Romeu, Rafae</t>
  </si>
  <si>
    <t>Reforming Energy Policy in India</t>
  </si>
  <si>
    <t>Parry, Ian W.H.-Mylonas, Victor-Vernon, Nat</t>
  </si>
  <si>
    <t>Lasso Regressions and Forecasting Models in Applied Stress Testing</t>
  </si>
  <si>
    <t>Taking Stock</t>
  </si>
  <si>
    <t>Cerdeiro, Diego A.-Plotnikov, Dmitr</t>
  </si>
  <si>
    <t>Collateral Reuse and Balance Sheet Space</t>
  </si>
  <si>
    <t>Singh, Manmoha</t>
  </si>
  <si>
    <t>Can They Do It All? Fiscal Space in Low-Income Countries</t>
  </si>
  <si>
    <t>Baum, Anja-Hodge, Andrew-Mineshima, Aiko-Moreno Badia, Marialuz-Tapsoba, Ren</t>
  </si>
  <si>
    <t>Bank Balance Sheets and the Value of Lending</t>
  </si>
  <si>
    <t>Chen, Jiaqian-Vera, Giusepp</t>
  </si>
  <si>
    <t>Macroprudential Liquidity Stress Testing in FSAPs for Systemically Important Financial Systems</t>
  </si>
  <si>
    <t>Jobst, Andreas A.-Ong, Li Lian-Schmieder, Christia</t>
  </si>
  <si>
    <t>BAUDELAIRE'S REVENGE</t>
  </si>
  <si>
    <t>Anaphora Literary Press</t>
  </si>
  <si>
    <t>PT6466.22.A35</t>
  </si>
  <si>
    <t>Franco-Prussian War, 1870-1871--Fiction.,Murder--Investigation--Fiction.</t>
  </si>
  <si>
    <t>rus</t>
  </si>
  <si>
    <t>LAERHOVEN, BOB VAN.</t>
  </si>
  <si>
    <t>Lizzie Borden and the Massachusetts Axe Murders</t>
  </si>
  <si>
    <t>KF223.B6</t>
  </si>
  <si>
    <t>Murder--Investigation--Massachusetts--Fall River.,Murder--Massachusetts--Fall River.,Trials (Murder)--Massachusetts--New Bedford.,Women--Massachusetts--Fall River--Social conditions--19th century.</t>
  </si>
  <si>
    <t>Bartle, Ronald</t>
  </si>
  <si>
    <t>Rebel Power</t>
  </si>
  <si>
    <t>Why National Movements Compete, Fight, and Win</t>
  </si>
  <si>
    <t>JC311</t>
  </si>
  <si>
    <t>Autonomy and independence movements--History--20th century--Case studies.,Organizational behavior--History--20th century--Case studies.,Political violence--History--20th century--Case studies.,Self-determination, National--History--20th century--Case studies.</t>
  </si>
  <si>
    <t>Krause, Peter</t>
  </si>
  <si>
    <t>Cornell Studies in Security Affairs</t>
  </si>
  <si>
    <t>The Pursuit of Justice</t>
  </si>
  <si>
    <t>The Military Moral Economy in the USA, Australia, and Great Britain â€” 1861â€“1945</t>
  </si>
  <si>
    <t>U22 .W57 2017eb</t>
  </si>
  <si>
    <t>War--Moral and ethical aspects.</t>
  </si>
  <si>
    <t>Wise, Nathan</t>
  </si>
  <si>
    <t>Open Data and the Knowledge Society</t>
  </si>
  <si>
    <t>Z667 .W477 2017eb</t>
  </si>
  <si>
    <t>Information society--Social aspects.</t>
  </si>
  <si>
    <t>Wessels ,Bridgette-Finn, Rachel L.-Wadhwa, Kush-Sveinsdottir, Thordis-Bigagli, Lorenzo-Nativi, Stefano-Noorman, Merel</t>
  </si>
  <si>
    <t>Modern Ghost Melodramas</t>
  </si>
  <si>
    <t>"What Lies Beneath"</t>
  </si>
  <si>
    <t>PN1995.9.S8 W35 2017eb</t>
  </si>
  <si>
    <t>Ghosts in motion pictures.,Motion pictures--History.</t>
  </si>
  <si>
    <t>Walker, Michael</t>
  </si>
  <si>
    <t>Film Culture in Transition</t>
  </si>
  <si>
    <t>Idolizing Authorship</t>
  </si>
  <si>
    <t>Literary Celebrity and the Construction of Identity, 1800 to the Present</t>
  </si>
  <si>
    <t>PN701 .I36 2017</t>
  </si>
  <si>
    <t>Authorship--Social aspects--History.,Fame--History.</t>
  </si>
  <si>
    <t>Franssen, Gaston-Honings, Rick</t>
  </si>
  <si>
    <t>Unburning Fame</t>
  </si>
  <si>
    <t>Horses, Dragons, Beings of Smoke, and Other Indo-European Motifs in Ugarit and the Hebrew Bible</t>
  </si>
  <si>
    <t>Pennsylvania State University Press</t>
  </si>
  <si>
    <t>Eisenbrauns</t>
  </si>
  <si>
    <t>BS1184</t>
  </si>
  <si>
    <t>Indo-European languages--Influence on Semitic languages, Northwest.,Semitic languages, Northwest--Influence on Indo-European.,Ugaritic literature--Relation to the Old Testament.</t>
  </si>
  <si>
    <t>Wikander, Ola</t>
  </si>
  <si>
    <t>Coniectanea Biblica. Old Testament Series</t>
  </si>
  <si>
    <t>At the Dawn of History</t>
  </si>
  <si>
    <t>Ancient Near Eastern Studies in Honour of J.N. Postgate</t>
  </si>
  <si>
    <t>DS69.5</t>
  </si>
  <si>
    <t>Akkadian language--Texts.,Civilization, Assyro-Babylonian.</t>
  </si>
  <si>
    <t>Heffron, YagÌ†mur-Stone, Adam-Worthington, Martin-Postgate, J. N.</t>
  </si>
  <si>
    <t>Socoh of the Judean Shephelah</t>
  </si>
  <si>
    <t>The 2010 Survey</t>
  </si>
  <si>
    <t>DS110.S63</t>
  </si>
  <si>
    <t>Excavations (Archaeology)--Israel.</t>
  </si>
  <si>
    <t>Hasel, Michael G.-Garfinkel, Yosef-Weiss, Shifra</t>
  </si>
  <si>
    <t>BSAVA Manual of Small Animal Practice Management and Development</t>
  </si>
  <si>
    <t>British Small Animal Veterinary Association</t>
  </si>
  <si>
    <t>BSAVA (British Small Animal Veterinary Association)</t>
  </si>
  <si>
    <t>SF756.4</t>
  </si>
  <si>
    <t>Veterinary medicine--Practice.,Veterinary medicine--Practice--Great Britain.</t>
  </si>
  <si>
    <t>Clarke, Carole J.-British Small Animal Veterinary Association.-Chapman, Marion</t>
  </si>
  <si>
    <t>BSAVA Manual Series</t>
  </si>
  <si>
    <t>EconomiÌa colombiana</t>
  </si>
  <si>
    <t>Ecoe Ediciones</t>
  </si>
  <si>
    <t>ECOE Ediciones Ltda</t>
  </si>
  <si>
    <t>BUSINESS &amp; ECONOMICS / Reference</t>
  </si>
  <si>
    <t>HC197 ebook</t>
  </si>
  <si>
    <t>Economics--History.</t>
  </si>
  <si>
    <t>Ortega CaÌrdenas, Alfonso</t>
  </si>
  <si>
    <t>ColeccioÌn: Ciencias empresariales. AÌrea EconomiÌa</t>
  </si>
  <si>
    <t>Organic Computing</t>
  </si>
  <si>
    <t>Doctoral Dissrtation Colloquim 2016</t>
  </si>
  <si>
    <t>QA76.9.A97 .O743 2017</t>
  </si>
  <si>
    <t>Autonomic computing.</t>
  </si>
  <si>
    <t>Tomforde, Sven.-Sick, Bernhard.</t>
  </si>
  <si>
    <t>Intelligent Embedded Systems</t>
  </si>
  <si>
    <t>Ich mach Dir den Hof! - Brennpunkt HofÃ¼bergabe</t>
  </si>
  <si>
    <t>Dokumentationsband der 24. WitzenhÃ¤user Konferenz 6. bis 10. Dezember 2016</t>
  </si>
  <si>
    <t>HD9000.5</t>
  </si>
  <si>
    <t>Agricultural ecology--Congresses.,Competition, Unfair--Congresses.,Food supply--Congresses.,Organic farming--Congresses.</t>
  </si>
  <si>
    <t>Projektgruppe Ich mach Dir den Hof! - Brennpunkt HofÃ¼bergabe</t>
  </si>
  <si>
    <t>Beitrag zur Herstellung 3-dimensionaler Kunststoffscheiben mit integrierter Funktion zur VerÃ¤nderung der Transparenz durch Elektrochromie</t>
  </si>
  <si>
    <t>TA1750</t>
  </si>
  <si>
    <t>Electrochromic devices.</t>
  </si>
  <si>
    <t>Giesen, Ralf-Urs</t>
  </si>
  <si>
    <t>Schriftenreihe des Instituts fuÌˆr Werkstofftechnik / Kunststofftechnik</t>
  </si>
  <si>
    <t>Ein Verfahren zur Prognose verkehrsabhÃ¤ngiger Schaltzeiten von Lichtsignalanlagen</t>
  </si>
  <si>
    <t>TE228</t>
  </si>
  <si>
    <t>Traffic signal preemption.,Traffic signs and signals--Control systems.</t>
  </si>
  <si>
    <t>Weisheit, Toni</t>
  </si>
  <si>
    <t>Schriftenreihe Verkehr</t>
  </si>
  <si>
    <t>Turning Points in the History of American Evangelicalism</t>
  </si>
  <si>
    <t>Wm. B. Eerdmans Publishing, Co.</t>
  </si>
  <si>
    <t>Eerdmans</t>
  </si>
  <si>
    <t>BR1642.U5 T87 2017eb</t>
  </si>
  <si>
    <t>Evangelicalism--United States.</t>
  </si>
  <si>
    <t>Carter, Heath W.-Porter, Laura Rominger</t>
  </si>
  <si>
    <t>Tell Them Something Beautiful</t>
  </si>
  <si>
    <t>Essays and Ephemera</t>
  </si>
  <si>
    <t>HM891</t>
  </si>
  <si>
    <t>Liberalism.,Mass media and culture.,Politics and culture.</t>
  </si>
  <si>
    <t>Rocha, Samuel D.</t>
  </si>
  <si>
    <t>Demenzielle Erkrankungen im Alter</t>
  </si>
  <si>
    <t>MEDICAL / Geriatrics</t>
  </si>
  <si>
    <t>Sandra Dick-Andreas HÃ¤usler-Kerstin Krause-KÃ¶hler-Johanna Nordheim-Michael Rapp-Adelheid Kuhlmey-Wolfgang Renteln-Kruse</t>
  </si>
  <si>
    <t>Praxiswissen Gerontologie und Geriatrie kompakt</t>
  </si>
  <si>
    <t>The Figures of Edgar Allan Poe</t>
  </si>
  <si>
    <t>Authorship, Antebellum Literature, and Transatlantic Rhetoric</t>
  </si>
  <si>
    <t>PS2638</t>
  </si>
  <si>
    <t>Guttzeit, Gero</t>
  </si>
  <si>
    <t>Buchreihe Der ANGLIA = ANGLIA Book Series</t>
  </si>
  <si>
    <t>Theatre on Terror</t>
  </si>
  <si>
    <t>Subject Positions in British Drama</t>
  </si>
  <si>
    <t>PR741 .W33 2017</t>
  </si>
  <si>
    <t>English drama--21st century--History and criticism.,Terror in art.</t>
  </si>
  <si>
    <t>De Waal, Ariane.</t>
  </si>
  <si>
    <t>Contemporary Drama in English Studies</t>
  </si>
  <si>
    <t>Geographic Mental Maps and Foreign Policy Change</t>
  </si>
  <si>
    <t>Re-Mapping the Carter Doctrine</t>
  </si>
  <si>
    <t>Luis da Vinha</t>
  </si>
  <si>
    <t>Empirical Translation Studies</t>
  </si>
  <si>
    <t>New Methodological and Theoretical Traditions</t>
  </si>
  <si>
    <t>P121 .E46 2017eb</t>
  </si>
  <si>
    <t>Contrastive linguistics.</t>
  </si>
  <si>
    <t>Delaere, Isabelle.-Lefer, Marie-Aude.-Sutter, Gert De.</t>
  </si>
  <si>
    <t>Trends in Linguistics. Studies and Monographs [TiLSM]</t>
  </si>
  <si>
    <t>Productive Digression</t>
  </si>
  <si>
    <t>Theorizing Practice</t>
  </si>
  <si>
    <t>Anselm Haverkamp</t>
  </si>
  <si>
    <t>Paradigms</t>
  </si>
  <si>
    <t>Ze'enah U Re'enah</t>
  </si>
  <si>
    <t>RELIGION / Judaism / History</t>
  </si>
  <si>
    <t>Morris M. Faierstein</t>
  </si>
  <si>
    <t>Studia Judaica</t>
  </si>
  <si>
    <t>d/t</t>
  </si>
  <si>
    <t>Arbeitsstelle der Akademie der Wissenschaften zu GÃ¶ttingen</t>
  </si>
  <si>
    <t>Native and Non-Native Teachers in English Language Classrooms</t>
  </si>
  <si>
    <t>Professional Challenges and Teacher Education</t>
  </si>
  <si>
    <t>P118.2 .N38 2017</t>
  </si>
  <si>
    <t>Language and languages--Study and teaching.,Second language acquisition.</t>
  </si>
  <si>
    <t>MartiÌnez Agudo, Juan de Dios</t>
  </si>
  <si>
    <t>Trends in Applied Linguistics</t>
  </si>
  <si>
    <t>Merchants of Innovation</t>
  </si>
  <si>
    <t>The Languages of Traders</t>
  </si>
  <si>
    <t>P23 .M47 2017</t>
  </si>
  <si>
    <t>Language and international relations--History--Congresses.</t>
  </si>
  <si>
    <t>Beinhoff, Bettina.-Outhwaite, Ben.-Wagner, Esther-Miriam.</t>
  </si>
  <si>
    <t>Studies in Language Change [SLC]</t>
  </si>
  <si>
    <t>Jewish and Israeli Law - An Introduction</t>
  </si>
  <si>
    <t>Shimon Shetreet-Walter Homolka</t>
  </si>
  <si>
    <t>Province</t>
  </si>
  <si>
    <t>decapitate e risorte</t>
  </si>
  <si>
    <t>LAW / Public</t>
  </si>
  <si>
    <t>KKH2920</t>
  </si>
  <si>
    <t>Local government--Law and legislation--Italy.</t>
  </si>
  <si>
    <t>Bertolissi, Mario-Bergonzini, Giuseppe</t>
  </si>
  <si>
    <t>Forme e realtaÌ€ nell'esperienza giuridica</t>
  </si>
  <si>
    <t>L'associazionismo imprenditoriale nel moderno sistema di relazioni industriali</t>
  </si>
  <si>
    <t>HD6971</t>
  </si>
  <si>
    <t>Businesspeople.,Industrial relations.</t>
  </si>
  <si>
    <t>MarcianoÌ€, Angela.</t>
  </si>
  <si>
    <t>Studi di diritto del lavoro</t>
  </si>
  <si>
    <t>PsychologickeÌ Eseje (z Konce KarieÌry)</t>
  </si>
  <si>
    <t>BF721</t>
  </si>
  <si>
    <t>Child psychology--Case studies.</t>
  </si>
  <si>
    <t>MatejcÌŒek, ZdeneÌŒk</t>
  </si>
  <si>
    <t>Podoby antisemitismu v CÌŒechaÌch a na Slovensku v 20. a 21. stoletiÌ</t>
  </si>
  <si>
    <t>DS135.S55</t>
  </si>
  <si>
    <t>Antisemitism--Czech Republic--Bohemia--History--20th century.,Antisemitism--Czech Republic--Bohemia--History--21st century.,Antisemitism--Slovakia--History--20th century.,Antisemitism--Slovakia--History--21st century.,Jews--Czech Republic--Bohemia--History--20th century.,Jews--Czech Republic--Bohemia--History--21st century.,Jews--Slovakia--History--20th century.,Jews--Slovakia--History--21st century.</t>
  </si>
  <si>
    <t>Vrzgulova, Monika-KubaÌtovaÌ, Hana</t>
  </si>
  <si>
    <t>ObecnaÌ psychologie</t>
  </si>
  <si>
    <t>diÌlcÌŒiÌ aspekty lidskeÌ psychiky a jejich orgaÌnovyÌ zaÌklad</t>
  </si>
  <si>
    <t>PSYCHOLOGY / Reference</t>
  </si>
  <si>
    <t>BF77</t>
  </si>
  <si>
    <t>Psychology.</t>
  </si>
  <si>
    <t>VaÌgnerovaÌ, Marie.</t>
  </si>
  <si>
    <t>PsychologickeÌ aspekty vytrvalostniÌho vyÌkonu</t>
  </si>
  <si>
    <t>SPORTS &amp; RECREATION / Triathlon</t>
  </si>
  <si>
    <t>GV1060.73</t>
  </si>
  <si>
    <t>Endurance sports.,Physical fitness--Psychological aspects.,Triathlon.</t>
  </si>
  <si>
    <t>KovÃ¡Å™ovÃ¡, Lenka</t>
  </si>
  <si>
    <t>When Texts Are Canonized</t>
  </si>
  <si>
    <t>Society of Biblical Literature</t>
  </si>
  <si>
    <t>Brown Judaic Studies</t>
  </si>
  <si>
    <t>RELIGION / Biblical Studies / Exegesis &amp; Hermeneutics</t>
  </si>
  <si>
    <t>BS465</t>
  </si>
  <si>
    <t>Canonization.</t>
  </si>
  <si>
    <t>Lim, Timothy H.</t>
  </si>
  <si>
    <t>The First Islamic Classic in Chinese</t>
  </si>
  <si>
    <t>Wang Daiyu's Real Commentary on the True Teaching</t>
  </si>
  <si>
    <t>State University of New York Press</t>
  </si>
  <si>
    <t>SUNY Press</t>
  </si>
  <si>
    <t>RELIGION / Islam / Theology</t>
  </si>
  <si>
    <t>BP163</t>
  </si>
  <si>
    <t>Islam--Doctrines.,Islam--Essence, genius, nature.</t>
  </si>
  <si>
    <t>Wang, Daiyu-Murata, Sachiko</t>
  </si>
  <si>
    <t>China's Lonely Revolution</t>
  </si>
  <si>
    <t>The Local Communist Movement of Hainan Island, 1926-1956</t>
  </si>
  <si>
    <t>HISTORY / Asia / China</t>
  </si>
  <si>
    <t>DS793.H3</t>
  </si>
  <si>
    <t>Communism--China--Hainan Sheng--History--20th century.,Communists--China--Hainan Sheng--History--20th century.,Li (Hainan people)--China--Hainan Sheng--Politics and government--20th century.,Revolutionaries--China--Hainan Sheng--History--20th century.</t>
  </si>
  <si>
    <t>Murray, Jeremy A.</t>
  </si>
  <si>
    <t>SUNY Series in Chinese Philosophy and Culture</t>
  </si>
  <si>
    <t>Forget Chineseness</t>
  </si>
  <si>
    <t>On the Geopolitics of Cultural Identification</t>
  </si>
  <si>
    <t>DS732</t>
  </si>
  <si>
    <t>Chinese diaspora.,Chinese--Ethnic identity.,Chinese--Foreign countries--Ethnic identity.,National characteristics, Chinese.</t>
  </si>
  <si>
    <t>Chun, Allen John Uck Lun</t>
  </si>
  <si>
    <t>SUNY Series in Global Modernity</t>
  </si>
  <si>
    <t>Power and Principle</t>
  </si>
  <si>
    <t>The Politics of International Criminal Courts</t>
  </si>
  <si>
    <t>KZ7230 .R83 2017</t>
  </si>
  <si>
    <t>International criminal courts--Political aspects.</t>
  </si>
  <si>
    <t>Rudolph, Christopher</t>
  </si>
  <si>
    <t>Kingdom of the Netherlands-Netherlands: Financial Sector Assessment Program:</t>
  </si>
  <si>
    <t>Modernizing China</t>
  </si>
  <si>
    <t>Lam, W. Raphael-Rodlauer, Markus-Schipke, Alfre</t>
  </si>
  <si>
    <t>Fiscal Monitor, April 2017</t>
  </si>
  <si>
    <t>International Monetary Fund. Fiscal Affairs Dept.,</t>
  </si>
  <si>
    <t>The Revenue Administrationâ€“Gap Analysis Program</t>
  </si>
  <si>
    <t>Thackray, Mic</t>
  </si>
  <si>
    <t>Assessing Corporate Vulnerabilities in Indonesia</t>
  </si>
  <si>
    <t>Chan-Lau, Jorge A-Miao, Weimin-Miyajima, Ken-Shin, Jongsoo</t>
  </si>
  <si>
    <t>Growth Inclusiveness in Djibouti</t>
  </si>
  <si>
    <t>Kireyev, Alexei</t>
  </si>
  <si>
    <t>Thick Vs. Thin-Skinned</t>
  </si>
  <si>
    <t>Eichengreen, Barry J.-Lafarguette, Romain-Mehl, Arnau</t>
  </si>
  <si>
    <t>Expenditure Asset Tool</t>
  </si>
  <si>
    <t>Garcia-Escribano, Mercedes-Liu, Candice</t>
  </si>
  <si>
    <t>Understanding the Use of Long-term Finance in Developing Economies</t>
  </si>
  <si>
    <t>Martinez Peria, Maria Soledad-Schmukler, Sergio L</t>
  </si>
  <si>
    <t>Structural Transformation in Employment and Productivity</t>
  </si>
  <si>
    <t>What Can Africa Hope For?</t>
  </si>
  <si>
    <t>BUSINESS &amp; ECONOMICS / Economics / General</t>
  </si>
  <si>
    <t>HD2329</t>
  </si>
  <si>
    <t>Industrial productivity--Africa, Sub-Saharan.,Industrialization--Africa, Sub-Saharan.,Structural adjustment (Economic policy)--Africa, Sub-Saharan.</t>
  </si>
  <si>
    <t>Fox, M. Louise.-Thomas, Alun.-International Monetary Fund.-Haines, Cleary.</t>
  </si>
  <si>
    <t>International Monetary Fund, African Department</t>
  </si>
  <si>
    <t>Tax Administration and Firm Performance</t>
  </si>
  <si>
    <t>Dabla-Norris, Era-Misch, Florian-Cleary, Duncan-Khwaja, Munawe</t>
  </si>
  <si>
    <t>Fiscal Politics</t>
  </si>
  <si>
    <t>HJ192.5 .F576 2017</t>
  </si>
  <si>
    <t>Fiscal policy.,Political science--Economic aspects.</t>
  </si>
  <si>
    <t>Gaspar, Vitor-International Monetary Fund-Gupta, Sanjeev-Mulas-Granados, Carlos</t>
  </si>
  <si>
    <t>Late to the Game? Capital Flows to the Western Balkans</t>
  </si>
  <si>
    <t>Koczan, Zsok</t>
  </si>
  <si>
    <t>Demographic Changes in Latin America</t>
  </si>
  <si>
    <t>Acosta Ormaechea, Santiago-Espinosa-Vega, Marco A-Wachs, Dieg</t>
  </si>
  <si>
    <t>Challenges in Correspondent Banking in the Small States of the Pacific</t>
  </si>
  <si>
    <t>Alwazir, Jihad-Jamaludin, Fazurin-Lee, Dongyeol-Sheridan, Niamh-Tumbarello, Patrizi</t>
  </si>
  <si>
    <t>A Rebalancing Act for China and Africa</t>
  </si>
  <si>
    <t>Messines to Carrick Hill:</t>
  </si>
  <si>
    <t>Writing Home From the Great War</t>
  </si>
  <si>
    <t>Vearsa</t>
  </si>
  <si>
    <t>Mercier Press</t>
  </si>
  <si>
    <t>D640.A22</t>
  </si>
  <si>
    <t>World War, 1914-1918--Ireland--Personal narratives.,World War, 1914-1918--Regimental histories--Ireland.</t>
  </si>
  <si>
    <t>Burke , Tom.</t>
  </si>
  <si>
    <t>A Dictionary of Family History</t>
  </si>
  <si>
    <t>The Genealogists' ABC</t>
  </si>
  <si>
    <t>Pen and Sword Family History</t>
  </si>
  <si>
    <t>REFERENCE / Genealogy &amp; Heraldry</t>
  </si>
  <si>
    <t>CS414 .S36 2017eb</t>
  </si>
  <si>
    <t>Genealogy.,Research--Great Britain--Genealogy--Handbooks, manuals, etc.</t>
  </si>
  <si>
    <t>Scott, Jonathan.</t>
  </si>
  <si>
    <t>VzdeÌŒlaÌniÌ a dnesÌŒek</t>
  </si>
  <si>
    <t>LB41</t>
  </si>
  <si>
    <t>Education.</t>
  </si>
  <si>
    <t>Strouhal, Martin-SÌŒtech, Stanislav</t>
  </si>
  <si>
    <t>NetradicÌŒniÌ zpuÌŠsoby aplikace anestetik</t>
  </si>
  <si>
    <t>mozÌŒnosti jejich vyuzÌŒitiÌ v urgrentniÌ mediciÌneÌŒ a mediciÌneÌŒ katastrof</t>
  </si>
  <si>
    <t>RD81</t>
  </si>
  <si>
    <t>Anesthesia.,Anesthetics--Administration.</t>
  </si>
  <si>
    <t>Hess, Ladislav-MaÌlek, JirÌŒiÌ</t>
  </si>
  <si>
    <t>UcÌŒebniÌ texty Univerzity Karlovy v Praze</t>
  </si>
  <si>
    <t>Paradigmen des Denkens</t>
  </si>
  <si>
    <t>Festschrift fÃ¼r Harald Seubert zum 50. Geburtstag</t>
  </si>
  <si>
    <t>B2523</t>
  </si>
  <si>
    <t>Philosophy, German.</t>
  </si>
  <si>
    <t>YuÌ„sufiÌ„, HÌ£amiÌ„d RizÌ¤aÌ„</t>
  </si>
  <si>
    <t>Die christliche Wahrheit und ihre Feinde</t>
  </si>
  <si>
    <t>Die historische Dauerkonstanz der Religion und die DÃ¤mmerung des Materialismus im Abendland</t>
  </si>
  <si>
    <t>B825</t>
  </si>
  <si>
    <t>Materialism--History.,Materialism--Religious aspects.,Materialism--Religious aspects--Christianity.</t>
  </si>
  <si>
    <t>Bibliography</t>
  </si>
  <si>
    <t>SCIENCE / Chemistry / Inorganic</t>
  </si>
  <si>
    <t>Pierre Villars-Karin Cenzual-Marinella Penzo</t>
  </si>
  <si>
    <t>ART / History / Modern (late 19th Century to 1945)</t>
  </si>
  <si>
    <t>AY19.C53 I58 2017</t>
  </si>
  <si>
    <t>Futurism (Art)--History.,Futurism (Art)--Latin America.,Futurism (Literary movement)--History.,Futurism (Literary movement)--Latin America.</t>
  </si>
  <si>
    <t>Aguirre, Mariana-Lee, Sze Wah-Berghaus, GuÌˆnter</t>
  </si>
  <si>
    <t>International Yearbook of Futurism Studies</t>
  </si>
  <si>
    <t>Scholia in Claudii Aeliani libros de natura animalium</t>
  </si>
  <si>
    <t>LITERARY COLLECTIONS / Ancient &amp; Classical</t>
  </si>
  <si>
    <t>Claudio MeliadÃ²</t>
  </si>
  <si>
    <t>Bibliotheca scriptorum Graecorum et Romanorum Teubneriana</t>
  </si>
  <si>
    <t>Hidden Topographies</t>
  </si>
  <si>
    <t>Traces of Urban Reality in Dystopian Fiction</t>
  </si>
  <si>
    <t>PR830.D96</t>
  </si>
  <si>
    <t>Dystopias in literature.,English fiction--21st century--History and criticism.</t>
  </si>
  <si>
    <t>ZaÌˆhringer, Raphael</t>
  </si>
  <si>
    <t>Buchreihe Der Anglia / Anglia Book Series</t>
  </si>
  <si>
    <t>Evidential Systems of Tibetan Languages</t>
  </si>
  <si>
    <t>PL3551</t>
  </si>
  <si>
    <t>Evidentials (Linguistics),Tibetan language--Grammar.</t>
  </si>
  <si>
    <t>Gawne, Lauren.-Hill, Nathan W.</t>
  </si>
  <si>
    <t>Reconstruction and Resumption in Indirect Aâ€˜-Dependencies</t>
  </si>
  <si>
    <t>On the Syntax of Prolepsis and Relativization in (Swiss) German and Beyond</t>
  </si>
  <si>
    <t>Martin Salzmann</t>
  </si>
  <si>
    <t>Studies in Generative Grammar [SGG]</t>
  </si>
  <si>
    <t>Discovering Australian Flora</t>
  </si>
  <si>
    <t>An Australian National Botanic Gardens Experience</t>
  </si>
  <si>
    <t>NATURE / Plants / General</t>
  </si>
  <si>
    <t>QK431</t>
  </si>
  <si>
    <t>Botanical gardens--Australia--Canberra (A.C.T.)--Pictorial works.,Botany--Australia.,Planting design--Australia--Canberra (A.C.T.),Plants--Australia--Identification.,Plants--Australia--Pictorial works.</t>
  </si>
  <si>
    <t>Karouta-Manasse, Fanny</t>
  </si>
  <si>
    <t>Successful Working Environments</t>
  </si>
  <si>
    <t>How to Create an Optimal Work Environment</t>
  </si>
  <si>
    <t>50Minutes.com</t>
  </si>
  <si>
    <t>BUSINESS &amp; ECONOMICS / Human Resources &amp; Personnel Management</t>
  </si>
  <si>
    <t xml:space="preserve"> 50MINUTES.COM</t>
  </si>
  <si>
    <t>Coaching</t>
  </si>
  <si>
    <t>Find Your Work-Life Balance</t>
  </si>
  <si>
    <t>Stop Your Work From Taking Over Your Life</t>
  </si>
  <si>
    <t>BUSINESS &amp; ECONOMICS / Careers / General</t>
  </si>
  <si>
    <t>Stimulating Your Professional Creativity</t>
  </si>
  <si>
    <t>Get Out of Your Rut and Unlock Your Creative Potential</t>
  </si>
  <si>
    <t>BUSINESS &amp; ECONOMICS / Development / Business Development</t>
  </si>
  <si>
    <t>Banking on the Future of Asia and the Pacific</t>
  </si>
  <si>
    <t>50 Years of the Asian Development Bank</t>
  </si>
  <si>
    <t>Asian Development Bank</t>
  </si>
  <si>
    <t>BUSINESS &amp; ECONOMICS / Corporate &amp; Business History</t>
  </si>
  <si>
    <t>Peter McCawley</t>
  </si>
  <si>
    <t>An Introduction to Passive Radar</t>
  </si>
  <si>
    <t>Artech House Publishers</t>
  </si>
  <si>
    <t>Artech House</t>
  </si>
  <si>
    <t>TK6592.B57 G75 2017</t>
  </si>
  <si>
    <t>Bistatic radar.,Tracking radar.</t>
  </si>
  <si>
    <t>Griffiths, H.-Baker, Christopher J.</t>
  </si>
  <si>
    <t>Artech House Radar Series</t>
  </si>
  <si>
    <t>Applications of Energy Harvesting Technologies in Buildings</t>
  </si>
  <si>
    <t>TK2896 .M38 2017</t>
  </si>
  <si>
    <t>Energy harvesting.,Renewable energy sources.,Sustainable architecture.,Sustainable buildings.</t>
  </si>
  <si>
    <t>Matiko, Joseph W.-Beeby, Stephen</t>
  </si>
  <si>
    <t>Artech House Integrated Microsystems Series</t>
  </si>
  <si>
    <t>Reflectionless Filters</t>
  </si>
  <si>
    <t>TK7872.F5 M669 2017eb</t>
  </si>
  <si>
    <t>Microwave filters.</t>
  </si>
  <si>
    <t>Morgan, Matthew A.</t>
  </si>
  <si>
    <t>Artech House Microwave Library</t>
  </si>
  <si>
    <t>IoT</t>
  </si>
  <si>
    <t>Technical Challenges and Solutions</t>
  </si>
  <si>
    <t>TK5105.8857 .P35 2017eb</t>
  </si>
  <si>
    <t>Internet of things.,Machine-to-machine communications.</t>
  </si>
  <si>
    <t>Pal, Arpan-Purushothaman, Balamuralidhar</t>
  </si>
  <si>
    <t>Artech House Power Engineering Library</t>
  </si>
  <si>
    <t>How to Become an IT Architect</t>
  </si>
  <si>
    <t>QA76.9.A73 B65 2017eb</t>
  </si>
  <si>
    <t>Computer architecture.</t>
  </si>
  <si>
    <t>Bojinca, Cristian</t>
  </si>
  <si>
    <t>Artech House Technology Management and Professional Development Library</t>
  </si>
  <si>
    <t>Woman, Woman</t>
  </si>
  <si>
    <t>Arte Publico Press</t>
  </si>
  <si>
    <t>Arte PÃºblico Press</t>
  </si>
  <si>
    <t>PS3554.E113</t>
  </si>
  <si>
    <t>American poetry--Mexican American authors.</t>
  </si>
  <si>
    <t>De Hoyos, Angela.</t>
  </si>
  <si>
    <t>EÌthique globale, bonne gouvernance et droit international eÌconomique</t>
  </si>
  <si>
    <t>KZ3410</t>
  </si>
  <si>
    <t>International economic relations.,International law.</t>
  </si>
  <si>
    <t>Vellano, Michele.-Manderieux, Laurent.</t>
  </si>
  <si>
    <t>Diritto internazionale dell'economia / Centro interuniversitario sul diritto delle organizzazioni internazionali economiche</t>
  </si>
  <si>
    <t>L'evoluzione del peacekeeping. Il ruolo dell'Italia</t>
  </si>
  <si>
    <t>KKH3757.5</t>
  </si>
  <si>
    <t>Peacekeeping forces, Italian.</t>
  </si>
  <si>
    <t>Caracciolo, Ida.-Montuoro, Umberto.</t>
  </si>
  <si>
    <t>Corruzione e infiltrazioni criminali negli appalti pubblici</t>
  </si>
  <si>
    <t>Strumenti di prevenzione e contrasto</t>
  </si>
  <si>
    <t>KKH2754</t>
  </si>
  <si>
    <t>Government purchasing--Italy.,Public contracts--Italy.</t>
  </si>
  <si>
    <t>Scomparin, Laura</t>
  </si>
  <si>
    <t>Atlas der Anatomie des Rindes</t>
  </si>
  <si>
    <t>Inklusive Supplement</t>
  </si>
  <si>
    <t>SF767.C3</t>
  </si>
  <si>
    <t>Cattle--Anatomy--Atlases.</t>
  </si>
  <si>
    <t>Pfarrer, Christiane.-MuÌˆlling, Christoph K. W.-Reese, Sven.-KoÌˆlle, Sabine-Budras, Klaus-Dieter.</t>
  </si>
  <si>
    <t>111 Rezepte gegen MigrÃ¤ne</t>
  </si>
  <si>
    <t>humboldt</t>
  </si>
  <si>
    <t>RC392</t>
  </si>
  <si>
    <t>Migraine--Popular works.</t>
  </si>
  <si>
    <t>Jetter, Marion</t>
  </si>
  <si>
    <t>Jacob's Shipwreck</t>
  </si>
  <si>
    <t>Diaspora, Translation, and Jewish-Christian Relations in Medieval England</t>
  </si>
  <si>
    <t>BM535</t>
  </si>
  <si>
    <t>Christianity and other religions--Judaism.,Hebrew literature--History and criticism--Early works to 1800.,Intellectual life--Religious aspects--Christianity.,Intellectual life--Religious aspects--Judaism.,Judaism--Relations--Christianity.,Latin literature--History and criticism--Early works to 1800.,Multilingualism--England--History--To 1500.</t>
  </si>
  <si>
    <t>Nisse, Ruth</t>
  </si>
  <si>
    <t>I Am Where I Come From</t>
  </si>
  <si>
    <t>Native American College Students and Graduates Tell Their Life Stories</t>
  </si>
  <si>
    <t>SOCIAL SCIENCE / Ethnic Studies / Native American Studies</t>
  </si>
  <si>
    <t>E97.65.N4</t>
  </si>
  <si>
    <t>Indian college students--New Hampshire--Hanover--Biography.,Indians of North America--Education (Higher)--New Hampshire--Hanover.,Minority college graduates--New Hampshire--Hanover--Biography.</t>
  </si>
  <si>
    <t>Garrod, Andrew-Kilkenny, Robert-Taylor, Melanie Benson-Prince, Shannon.</t>
  </si>
  <si>
    <t>Die besten Posing-Tipps</t>
  </si>
  <si>
    <t>TECHNOLOGY &amp; ENGINEERING / Imaging Systems</t>
  </si>
  <si>
    <t>TR577</t>
  </si>
  <si>
    <t>Photography--Technique.,Portrait photography--Posing.</t>
  </si>
  <si>
    <t>BruÌˆggemann, Jens</t>
  </si>
  <si>
    <t>Edition FotoHits</t>
  </si>
  <si>
    <t>Content Marketing. Das Praxis-Handbuch fÃ¼r Unternehmen</t>
  </si>
  <si>
    <t>Strategie entwickeln, Content planen, Zielgruppe erreichen</t>
  </si>
  <si>
    <t>HF5415.127</t>
  </si>
  <si>
    <t>Marketing--Management.,Target marketing.</t>
  </si>
  <si>
    <t>Ansari, Sepita</t>
  </si>
  <si>
    <t>ã¯ã˜ã‚ã¦ã®åŠå°Žä½“ãƒ‡ãƒã‚¤ã‚¹</t>
  </si>
  <si>
    <t>TK7871.85</t>
  </si>
  <si>
    <t>Semiconductors.</t>
  </si>
  <si>
    <t>åŸ·è¡Œç›´ä¹‹</t>
  </si>
  <si>
    <t>Cè¨€èªžã§å­¦ã¶ã‚³ãƒ³ãƒ”ãƒ¥ãƒ¼ã‚¿ç§‘å­¦ã¨ãƒ—ãƒ­ã‚°ãƒ©ãƒŸãƒ³ã‚°</t>
  </si>
  <si>
    <t>COMPUTERS / Programming Languages / C</t>
  </si>
  <si>
    <t>QA76.6</t>
  </si>
  <si>
    <t>C (Computer program language),Computer programming.,Computer programming--Problems, exercises, etc.</t>
  </si>
  <si>
    <t>å°é«˜çŸ¥å®</t>
  </si>
  <si>
    <t>ã‚¢ãƒ«ã‚´ãƒªã‚ºãƒ ã®åŸºç¤Žã¨ãƒ‡ãƒ¼ã‚¿æ§‹é€ </t>
  </si>
  <si>
    <t>MATHEMATICS / Numerical Analysis</t>
  </si>
  <si>
    <t>QA9.58</t>
  </si>
  <si>
    <t>Algorithms.,C (Computer program language),Data structures (Computer science)</t>
  </si>
  <si>
    <t>Die Plattform-Revolution</t>
  </si>
  <si>
    <t>Von Airbnb, Uber, PayPal und Co. lernen: Wie neue Plattform-GeschÃ¤ftsmodelle die Wirtschaft verÃ¤ndern</t>
  </si>
  <si>
    <t>HF5415.1265</t>
  </si>
  <si>
    <t>Internet marketing.,Strategic planning.</t>
  </si>
  <si>
    <t>Parker, Geoffrey-Choudary, Sangeet Paul-Van Alstyne, Marshall</t>
  </si>
  <si>
    <t>Reading 'Capital' Today</t>
  </si>
  <si>
    <t>Marx After 150 Years</t>
  </si>
  <si>
    <t>HB501.M363 R43 2017eb</t>
  </si>
  <si>
    <t>Capital.,Economics.</t>
  </si>
  <si>
    <t>Schmidt, Ingo-Fanelli, Carlo</t>
  </si>
  <si>
    <t>Voices From the 'Jungle'</t>
  </si>
  <si>
    <t>Stories From the Calais Refugee Camp</t>
  </si>
  <si>
    <t>JV7925.2 .V65 2017</t>
  </si>
  <si>
    <t>Refugee camps--France--Calais.,Refugees--France--Calais.</t>
  </si>
  <si>
    <t>Godin, Marie-MÃ¸ller Hansen, Katrine-Lounasmaa, Aura-Squire, Corinne-Zaman, Tahir</t>
  </si>
  <si>
    <t>Daddy Hall</t>
  </si>
  <si>
    <t>A Biography in 80 Linocuts</t>
  </si>
  <si>
    <t>Porcupine's Quill, Inc</t>
  </si>
  <si>
    <t>The Porcupineâ€™s Quill</t>
  </si>
  <si>
    <t>HISTORY / Canada / General</t>
  </si>
  <si>
    <t>E450.H25 M55 2017eb</t>
  </si>
  <si>
    <t>Blacks--Ontario--Owen Sound--Biography.,Frontier and pioneer life--Ontario--Owen Sound.,Pioneers, Black--Ontario--Owen Sound--Biography.</t>
  </si>
  <si>
    <t>Miller, Tony.-Walker, George A.-Clarke, George Elliott.</t>
  </si>
  <si>
    <t>Wordless Novels</t>
  </si>
  <si>
    <t>College Student Development</t>
  </si>
  <si>
    <t>Applying Theory to Practice on the Diverse Campus</t>
  </si>
  <si>
    <t>Springer Publishing Company, Inc.</t>
  </si>
  <si>
    <t>Springer Publishing Company</t>
  </si>
  <si>
    <t>EDUCATION / Student Life &amp; Student Affairs</t>
  </si>
  <si>
    <t>LB2343.4 .C64 2017eb</t>
  </si>
  <si>
    <t>College student development programs--United States--Case studies.,Student affairs services--Social aspects--United States.</t>
  </si>
  <si>
    <t>Killam, Wendy K.-Degges-White, Suzanne</t>
  </si>
  <si>
    <t>Studies in Figurative Thought and Language</t>
  </si>
  <si>
    <t>P301.5.M48</t>
  </si>
  <si>
    <t>Corpora (Linguistics),Exaggeration (Philosophy),Figures of speech.,Metaphor.,Metonyms.</t>
  </si>
  <si>
    <t>Athanasiadou, Angeliki</t>
  </si>
  <si>
    <t>Human Cognitive Processing</t>
  </si>
  <si>
    <t>Development of Tense/Aspect in Semitic in the Context of Afro-Asiatic Languages</t>
  </si>
  <si>
    <t>PJ3035</t>
  </si>
  <si>
    <t>Afroasiatic languages--Grammar.,Afroasiatic languages--Verb.,Semitic languages--Aspect.,Semitic languages--Tense.,Semitic languages--Verb.</t>
  </si>
  <si>
    <t>BubeniÌk, ViÌt</t>
  </si>
  <si>
    <t>Current Issues in Linguistic Theory</t>
  </si>
  <si>
    <t>Teilen, Reparieren, MÃ¼lltauchen</t>
  </si>
  <si>
    <t>Kulturelle Strategien im Umgang mit Knappheit und Ãœberfluss</t>
  </si>
  <si>
    <t>GN320 .G74 2017</t>
  </si>
  <si>
    <t>Consumption (Economics)--Social aspects.,Ethnology.,Recycling (Waste, etc.)--Social aspects.,Scarcity--Social aspects.,Sustainable living--Social aspects.</t>
  </si>
  <si>
    <t>Grewe, Maria.</t>
  </si>
  <si>
    <t>Kultur und soziale Praxis</t>
  </si>
  <si>
    <t>Klinisch rein</t>
  </si>
  <si>
    <t>Zum VerhÃ¤ltnis von Sauberkeit, Macht und Arbeit im Krankenhaus</t>
  </si>
  <si>
    <t>RA425</t>
  </si>
  <si>
    <t>Hospitals--Great Britain.,Sanitation.</t>
  </si>
  <si>
    <t>Von Bose, KaÌˆthe.</t>
  </si>
  <si>
    <t>Afrika, Du hast es besser: Religion, Ethnozentrismus, Kooperation lokal, Philosophie</t>
  </si>
  <si>
    <t>B5310</t>
  </si>
  <si>
    <t>Ethnicity--Africa.,Ethnocentrism--Africa.,Families--Africa.,Group identity--Africa.,Religion and culture--Africa.</t>
  </si>
  <si>
    <t>Bellers, JuÌˆrgen-Gieler, Wolfgang-Porsche-Ludwig, Markus</t>
  </si>
  <si>
    <t>Was ist Bewusstsein?</t>
  </si>
  <si>
    <t>B105.C477</t>
  </si>
  <si>
    <t>Consciousness.</t>
  </si>
  <si>
    <t>Transformationen</t>
  </si>
  <si>
    <t>Studien zu Zeit, Bewegung und Imagination</t>
  </si>
  <si>
    <t>B829.5</t>
  </si>
  <si>
    <t>Imagination (Philosophy),Movement (Philosophy),Phenomenological anthropology.,Phenomenology.,Space and time.</t>
  </si>
  <si>
    <t>MuÌˆller, Severin.</t>
  </si>
  <si>
    <t>libri nigri</t>
  </si>
  <si>
    <t>Molla Sadras Handlungstheorie im historischen Kontext</t>
  </si>
  <si>
    <t>B753.M84</t>
  </si>
  <si>
    <t>Islamic philosophy--Early works to 1800.,Islamic philosophy--Iran--Early works to 1800.</t>
  </si>
  <si>
    <t>Mousavi, Sedigheh Khansari</t>
  </si>
  <si>
    <t>Der SchÃ¼ler und sein Denker</t>
  </si>
  <si>
    <t>Eine philosophische Begegnung</t>
  </si>
  <si>
    <t>BD21</t>
  </si>
  <si>
    <t>Philosophy--Introductions.</t>
  </si>
  <si>
    <t>Mittermaier, Karl</t>
  </si>
  <si>
    <t>Independents in Irish Party Democracy</t>
  </si>
  <si>
    <t>JN1468</t>
  </si>
  <si>
    <t>Representative government and representation--Ireland.</t>
  </si>
  <si>
    <t>WEEKS, LIAM.</t>
  </si>
  <si>
    <t>The Political Aesthetics of the Armenian Avant-garde</t>
  </si>
  <si>
    <t>The Journey of the 'painterly Real', 1987-2004</t>
  </si>
  <si>
    <t>ART / History / General</t>
  </si>
  <si>
    <t>N7292.6 .H364 2017eb</t>
  </si>
  <si>
    <t>Art, Armenian--20th century.,Art--Political aspects--Armenia (Republic)</t>
  </si>
  <si>
    <t>Harutyunyan, Angela</t>
  </si>
  <si>
    <t>Rethinking Art's Histories</t>
  </si>
  <si>
    <t>Performance Art in Eastern Europe Since 1960</t>
  </si>
  <si>
    <t>DRAMA / European / General</t>
  </si>
  <si>
    <t>NX456.5.P38 B789 2017</t>
  </si>
  <si>
    <t>Gender identity in art--History.,Human beings in art--History.,Identity (Philosophical concept) in art--History.,Institutional Critique (Art movement)--Europe, Eastern--History.,Performance art--Europe, Eastern--History.,Politics in art--History.</t>
  </si>
  <si>
    <t>Bryzgel, Amy</t>
  </si>
  <si>
    <t>Financial Integration in Latin America</t>
  </si>
  <si>
    <t>A New Strategy for a New Normal</t>
  </si>
  <si>
    <t>HC123 .F55 2017</t>
  </si>
  <si>
    <t>Enoch, Charles-Bossu, Wouter-CaÌceres, Carlos-Singh, Diva</t>
  </si>
  <si>
    <t>Kingdom of the Netherlands-Netherlands</t>
  </si>
  <si>
    <t>Policy, Risk and Spillover Analysis in the World Economy</t>
  </si>
  <si>
    <t>Vitek, Franci</t>
  </si>
  <si>
    <t>Does Prolonged Monetary Policy Easing Increase Financial Vulnerability?</t>
  </si>
  <si>
    <t>Cecchetti, Stephen-Mancini Griffoli, Tommaso-Narita, Machik</t>
  </si>
  <si>
    <t>World Trade in Services</t>
  </si>
  <si>
    <t>Loungani, Prakash-Mishra, Saurabh-Papageorgiou, Chris-Wang, K</t>
  </si>
  <si>
    <t>Labor and Product Market Reforms in Advanced Economies</t>
  </si>
  <si>
    <t>Banerji, Angana-Crispolti, Valerio-Dabla-Norris, Era-Ebeke, Christian H-Furceri, Davide-Komatsuzaki, Takuji-Poghosyan, Tigra</t>
  </si>
  <si>
    <t>Labor Market Institutions and the Cost of Recessions</t>
  </si>
  <si>
    <t>Krebs, Tom-Scheffel, Marti</t>
  </si>
  <si>
    <t>Consumption in Brazil</t>
  </si>
  <si>
    <t>Matheson, Troy D-GÃ³es, Carlo</t>
  </si>
  <si>
    <t>Hutton, Eri</t>
  </si>
  <si>
    <t>Fiscal Crises</t>
  </si>
  <si>
    <t>Gerling, Kerstin-Medas, Paulo A-Poghosyan, Tigran-Farah-Yacoub, Juan-Xu, Yizh</t>
  </si>
  <si>
    <t>Tax Administration Reforms in the Caribbean</t>
  </si>
  <si>
    <t>Schlotterbeck, Stephan</t>
  </si>
  <si>
    <t>Das House-Kapital</t>
  </si>
  <si>
    <t>Grossman, Volker-Steger, Thoma</t>
  </si>
  <si>
    <t>Excessive Private Sector Leverage and Its Drivers</t>
  </si>
  <si>
    <t>Jarmuzek, Mariusz-Rozenov, Rosse</t>
  </si>
  <si>
    <t>The Effects of Data Transparency Policy Reforms on Emerging Market Sovereign Bond Spreads</t>
  </si>
  <si>
    <t>Choi, Sangyup-Hashimoto, Yuk</t>
  </si>
  <si>
    <t>Financial Stability Reports in Latin America and the Caribbean</t>
  </si>
  <si>
    <t>Lim, Cheng Hoon-Klemm, Alexander D-Ogawa, Sumiko-Pani, Marco-Visconti, Claudi</t>
  </si>
  <si>
    <t>Exchange Rate Regimes in Central, Eastern and Southeastern Europe</t>
  </si>
  <si>
    <t>Slavov, Slavi</t>
  </si>
  <si>
    <t>Education Systems and Foreign Direct Investment</t>
  </si>
  <si>
    <t>Wendlassida Miningou, Elise-Tapsoba, Sampawende</t>
  </si>
  <si>
    <t>Optimal Fiscal and Monetary Policy, Debt Crisis and Management</t>
  </si>
  <si>
    <t>Cantore, Cristiano-Levine, Paul L-Melina, Giovanni-Pearlman, Joseph</t>
  </si>
  <si>
    <t>Inequality Overhang</t>
  </si>
  <si>
    <t>Grigoli, Francesco-Robles, Adria</t>
  </si>
  <si>
    <t>Should Unconventional Monetary Policies Become Conventional?</t>
  </si>
  <si>
    <t>Quint, Dominic-Rabanal, Pa</t>
  </si>
  <si>
    <t>Effectiveness of Fiscal Incentives for R&amp;D</t>
  </si>
  <si>
    <t>Guceri, Irem-Liu, L</t>
  </si>
  <si>
    <t>From Martyrs to Murderers</t>
  </si>
  <si>
    <t>Images of Teachers and Teaching in Hollywood Films</t>
  </si>
  <si>
    <t>EDUCATION / General</t>
  </si>
  <si>
    <t>PN1995.9.S253</t>
  </si>
  <si>
    <t>Education in motion pictures.,Motion pictures--United States.,Schools in motion pictures.</t>
  </si>
  <si>
    <t>Dahlgren, Robert L.</t>
  </si>
  <si>
    <t>Constructing Knowledge: Curriculum Studies in Action</t>
  </si>
  <si>
    <t>25th Annual Conference of the German Crystallographic Society, March 27-30, 2017, Karlsruhe, Germany</t>
  </si>
  <si>
    <t>SCIENCE / Physics / Crystallography</t>
  </si>
  <si>
    <t>Zeitschrift FÃ¼r Kristallographie / Supplemente</t>
  </si>
  <si>
    <t>mul</t>
  </si>
  <si>
    <t>Another Road To Damascus</t>
  </si>
  <si>
    <t>An Integrative Approach to 'Abd Al-Qadir Al-Jaza'iri</t>
  </si>
  <si>
    <t>HISTORY / Africa / North</t>
  </si>
  <si>
    <t>Tom Woerner-Powell</t>
  </si>
  <si>
    <t>Cosmic Miniatures and the Future Sense</t>
  </si>
  <si>
    <t>Alexander Kluge's 21st-Century Literary Experiments in German Culture and Narrative Form</t>
  </si>
  <si>
    <t>PT2671.L84 Z33 2017</t>
  </si>
  <si>
    <t>Adelson, Leslie A.</t>
  </si>
  <si>
    <t>Interdisciplinary German Cultural Studies</t>
  </si>
  <si>
    <t>European Monarchies From 1814 to 1906</t>
  </si>
  <si>
    <t>A Century of Restorations</t>
  </si>
  <si>
    <t>HISTORY / Modern / General</t>
  </si>
  <si>
    <t>D359</t>
  </si>
  <si>
    <t>Monarchy--Europe--History--19th century.,Monarchy--Europe--History--20th century.,Restorations, Political.</t>
  </si>
  <si>
    <t>Sellin, Volker.</t>
  </si>
  <si>
    <t>Panhellenes at Methone</t>
  </si>
  <si>
    <t>GraphÃª in Late Geometric and Protoarchaic Methone, Macedonia (ca 700 BCE)</t>
  </si>
  <si>
    <t>CN398.M27 P36 2017eb</t>
  </si>
  <si>
    <t>Inscriptions, Greek--Macedonia.</t>
  </si>
  <si>
    <t>Malkin, Irad.-Strauss Clay, Jenny.-Tzifopoulos, Yannis Z.</t>
  </si>
  <si>
    <t>Trends in Classics - Supplementary Volumes</t>
  </si>
  <si>
    <t>Lead: Its Effects on Environment and Health</t>
  </si>
  <si>
    <t>Astrid Sigel-Helmut Sigel-Roland K.O. Sigel</t>
  </si>
  <si>
    <t>Metal Ions in Life Sciences</t>
  </si>
  <si>
    <t>The Speech Processing Lexicon</t>
  </si>
  <si>
    <t>Neurocognitive and Behavioural Approaches</t>
  </si>
  <si>
    <t>LANGUAGE ARTS &amp; DISCIPLINES / Linguistics / Phonetics &amp; Phonology</t>
  </si>
  <si>
    <t>Aditi Lahiri-Sandra Kotzor</t>
  </si>
  <si>
    <t>Phonology and Phonetics [PP]</t>
  </si>
  <si>
    <t>Spanish Clitics on the Move</t>
  </si>
  <si>
    <t>Variation in Time and Space</t>
  </si>
  <si>
    <t>PC4139.3 .M39 2017</t>
  </si>
  <si>
    <t>Spanish language--Clitics.</t>
  </si>
  <si>
    <t>Mayer, Elisabeth.</t>
  </si>
  <si>
    <t>Bob Crow - Socialist, Leader, Fighter</t>
  </si>
  <si>
    <t>A Political Biography</t>
  </si>
  <si>
    <t>POLITICAL SCIENCE / Political Process / Leadership</t>
  </si>
  <si>
    <t>HD6664 .G35 2017</t>
  </si>
  <si>
    <t>Labor unions--Great Britain--Officials and employees--Biography.</t>
  </si>
  <si>
    <t>Gall, Gregor</t>
  </si>
  <si>
    <t>Revisiting Divisions of Labour</t>
  </si>
  <si>
    <t>The Impacts and Legacies of a Modern Sociological Classic</t>
  </si>
  <si>
    <t>HD4901.P183</t>
  </si>
  <si>
    <t>Division of labor.,Work.,Working class.</t>
  </si>
  <si>
    <t>Crow, Graham-Ellis, Jaimie</t>
  </si>
  <si>
    <t>Sensing World, Sensing Wisdom</t>
  </si>
  <si>
    <t>The Cognitive Foundation of Biblical Metaphors</t>
  </si>
  <si>
    <t>SBL Press</t>
  </si>
  <si>
    <t>BS1199.M45</t>
  </si>
  <si>
    <t>Metaphor in the Bible.,Metaphor.</t>
  </si>
  <si>
    <t>Tilford, Nicole L.</t>
  </si>
  <si>
    <t>Ancient Israel and Its Literature</t>
  </si>
  <si>
    <t>Life in Kings</t>
  </si>
  <si>
    <t>Reshaping the Royal Story in the Hebrew Bible</t>
  </si>
  <si>
    <t>BS1335.52</t>
  </si>
  <si>
    <t>Auld, A. Graeme</t>
  </si>
  <si>
    <t>PÃ¤dagogischer Mehrwert?</t>
  </si>
  <si>
    <t>Digitale Medien in Schule und Unterricht</t>
  </si>
  <si>
    <t>EDUCATION / Organizations &amp; Institutions</t>
  </si>
  <si>
    <t>LB1044.87</t>
  </si>
  <si>
    <t>Digital media.,Educational innovations.,Internet in education.</t>
  </si>
  <si>
    <t>Fischer, Christian</t>
  </si>
  <si>
    <t>MuÌˆnstersche GespraÌˆche zur PaÌˆdagogik</t>
  </si>
  <si>
    <t>The Idea of a Text and the Nature of Textual Meaning</t>
  </si>
  <si>
    <t>Criticism, Textual.,Discourse analysis, Literary.,Linguistics--Philosophy.,Pragmatics.,Semantics (Philosophy)</t>
  </si>
  <si>
    <t>Pettersson, Anders</t>
  </si>
  <si>
    <t>FILLM Studies in Languages and Literatures</t>
  </si>
  <si>
    <t>Identity Struggles</t>
  </si>
  <si>
    <t>Evidence From Workplaces Around the World</t>
  </si>
  <si>
    <t>P302.84</t>
  </si>
  <si>
    <t>Communication in organizations.,Discourse analysis--Social aspects.,Identity (Psychology),Professional employees--Language.,Social interaction.,Workplace literacy.</t>
  </si>
  <si>
    <t>Mieroop, Dorien Van De.-Schnurr, Stephanie</t>
  </si>
  <si>
    <t>Discourse Approaches to Politics, Society and Culture</t>
  </si>
  <si>
    <t>Reflections on Translation Theory</t>
  </si>
  <si>
    <t>Selected Papers 1993 - 2014</t>
  </si>
  <si>
    <t>P306</t>
  </si>
  <si>
    <t>Translating and interpreting.</t>
  </si>
  <si>
    <t>Chesterman, Andrew</t>
  </si>
  <si>
    <t>Vita Coaetanea / A Contemporary Life / Vida CoetÃ¡nea / Vida CoetÃ nia</t>
  </si>
  <si>
    <t>PA8360.L93</t>
  </si>
  <si>
    <t>Philosophy--Early works to 1800.</t>
  </si>
  <si>
    <t>Llull, Ramon-Cortijo OcanÌƒa, Antonio</t>
  </si>
  <si>
    <t>IVITRA Research in Linguistics and Literature</t>
  </si>
  <si>
    <t>Syllable Weight in African Languages</t>
  </si>
  <si>
    <t>PL8007</t>
  </si>
  <si>
    <t>African languages--Phonology.,African languages--Syllabication.,Afroasiatic languages--Phonology.,Grammar, Comparative and general--Syllable.</t>
  </si>
  <si>
    <t>Newman, Paul</t>
  </si>
  <si>
    <t>Crossroads Semantics</t>
  </si>
  <si>
    <t>Computation, Experiment and Grammar</t>
  </si>
  <si>
    <t>P98.5.S45</t>
  </si>
  <si>
    <t>Computational linguistics.,Semantics--Data processing.</t>
  </si>
  <si>
    <t>Reckman, Hilletje Gezina Bouwke-Cheng, Lisa Lai Shen-Hijzelendoorn, Maarten-Sybesma, R. P. E.</t>
  </si>
  <si>
    <t>Echoes of a Lost Voice - Encounters with Primo Levi</t>
  </si>
  <si>
    <t>Vallentine Mitchell</t>
  </si>
  <si>
    <t>PQ4872.E8 Z8313 2017</t>
  </si>
  <si>
    <t>Authors, Italian--20th century--Biography.</t>
  </si>
  <si>
    <t>Calcagno, Giorgio.-Poli, Gabriella.</t>
  </si>
  <si>
    <t>Land of Plenty</t>
  </si>
  <si>
    <t>How Should We Ensure That People Have the Food They Need?</t>
  </si>
  <si>
    <t>National Issues Forums Institute</t>
  </si>
  <si>
    <t>SOCIAL SCIENCE / Agriculture &amp; Food</t>
  </si>
  <si>
    <t>Julie Pratt-Sue Williams</t>
  </si>
  <si>
    <t>Celso</t>
  </si>
  <si>
    <t>PS3568.O5644</t>
  </si>
  <si>
    <t>American poetry--New Mexico--Mexican American authors.</t>
  </si>
  <si>
    <t>Romero, Leo.</t>
  </si>
  <si>
    <t>Numerical Modeling of Narrow-linewidth Quantum Dot Lasers</t>
  </si>
  <si>
    <t>TA1677</t>
  </si>
  <si>
    <t>Injection lasers--Mathematical models.,Quantum dots--Mathematical models.</t>
  </si>
  <si>
    <t>Bjelica, Marko</t>
  </si>
  <si>
    <t>AnatomÃ­a del desencanto</t>
  </si>
  <si>
    <t>Humor, FicciÃ³n Y MelancolÃ­a En EspaÃ±a (1976-1998)</t>
  </si>
  <si>
    <t>PQ6144 .M665 2017</t>
  </si>
  <si>
    <t>Spanish fiction--20th century--History and criticism.</t>
  </si>
  <si>
    <t>Morales Rivera, Santiago</t>
  </si>
  <si>
    <t>Purdue studies in Romance literatures</t>
  </si>
  <si>
    <t>African Virtues in the Pursuit of Conviviality</t>
  </si>
  <si>
    <t>Exploring Local Solutions in Light of Global Prescriptions</t>
  </si>
  <si>
    <t>DT30.5 .A478 2017</t>
  </si>
  <si>
    <t>Matsuda, Motoji-Ohta, Itaru-Gebre, Yntiso</t>
  </si>
  <si>
    <t>African Potentials</t>
  </si>
  <si>
    <t>Religion, Occult and Youth Conflict in the Niger Delta of Nigeria</t>
  </si>
  <si>
    <t>DT515.45.E3 A587 2017</t>
  </si>
  <si>
    <t>Ebira (African people)--Religion.,Political violence--Nigeria--Niger River Delta.,Youth and violence--Nigeria--Niger River Delta.</t>
  </si>
  <si>
    <t>Anugwom, Edlyne Ezenongaya</t>
  </si>
  <si>
    <t>Relationality and Resilience in a Not So Relational World?</t>
  </si>
  <si>
    <t>Knowledge, Chivanhu and (De-)Coloniality in 21st Century Conflict-Torn Zimbabwe</t>
  </si>
  <si>
    <t>DT2913.S55</t>
  </si>
  <si>
    <t>Resilience (Personality trait)--Zimbabwe--Manicaland Province.,Shona (African people)--Economic conditions.,Shona (African people)--Social conditions.</t>
  </si>
  <si>
    <t>Nhemachena, Artwell.</t>
  </si>
  <si>
    <t>Native Estates: Records of Mobility Across Colonial Boundaries</t>
  </si>
  <si>
    <t>Basler Afrika Bibliographien</t>
  </si>
  <si>
    <t>HISTORY / Africa / South / General</t>
  </si>
  <si>
    <t>Ndeshi Namhila</t>
  </si>
  <si>
    <t>Messianism in Medieval Jewish Thought</t>
  </si>
  <si>
    <t>Academic Studies Press</t>
  </si>
  <si>
    <t>BM625 .S3413 2017eb</t>
  </si>
  <si>
    <t>Jewish philosophy.,Messianic era (Judaism)--History of doctrines.,Philosophy, Medieval.,Redemption--Judaism--History of doctrines.</t>
  </si>
  <si>
    <t>Schwartz, Dov.</t>
  </si>
  <si>
    <t>Emunot: Jewish Philosophy and Kabbalah Ser</t>
  </si>
  <si>
    <t>The Russian-Jewish Tradition</t>
  </si>
  <si>
    <t>Intellectuals, Historians, Revolutionaries</t>
  </si>
  <si>
    <t>DS134.84</t>
  </si>
  <si>
    <t>Jewish scholars--Russia--Biography.,Jews--Russia--History--19th century.,Jews--Russia--History--20th century.,Jews--Russia--Intellectual life--19th century.,Jews--Russia--Intellectual life--20th century.</t>
  </si>
  <si>
    <t>Horowitz, Brian</t>
  </si>
  <si>
    <t>Jews of Russia &amp; Eastern Europe and Their Legacy</t>
  </si>
  <si>
    <t>Whispers of War</t>
  </si>
  <si>
    <t>An Afghan Freedom Fighterâ€™s Account of the Soviet Invasion</t>
  </si>
  <si>
    <t>DS371.2 .K477 2017eb</t>
  </si>
  <si>
    <t>Khalili, Masood</t>
  </si>
  <si>
    <t>Thomas Aquinas's Relics As Focus for Conflict and Cult in the Late Middle Ages</t>
  </si>
  <si>
    <t>The Restless Corpse</t>
  </si>
  <si>
    <t>BX4700.T6</t>
  </si>
  <si>
    <t>Death--Religious aspects--Catholic Church.</t>
  </si>
  <si>
    <t>Marika RÃ¤sÃ¤nen</t>
  </si>
  <si>
    <t>Crossing Boundaries: Turku Medieval and Early Modern Studies</t>
  </si>
  <si>
    <t>Ethnicity and Democracy in the Eastern Himalayan Borderland</t>
  </si>
  <si>
    <t>Constructing Democracy</t>
  </si>
  <si>
    <t>DS495.5 .C465 2017eb</t>
  </si>
  <si>
    <t>Chettri, Mona</t>
  </si>
  <si>
    <t>Asian Borderlands</t>
  </si>
  <si>
    <t>ãƒ‡ãƒ¼ã‚¿å¸‚å ´</t>
  </si>
  <si>
    <t>ãƒ‡ãƒ¼ã‚¿ã‚’æ´»ã‹ã™ã‚¤ãƒŽãƒ™ãƒ¼ã‚·ãƒ§ãƒ³ã‚²ãƒ¼ãƒ  = MoDAT, market of data</t>
  </si>
  <si>
    <t>HD9999.I492</t>
  </si>
  <si>
    <t>Big data--Economic aspects.,Information services industry.</t>
  </si>
  <si>
    <t>å¤§æ¾¤å¹¸ç”Ÿ-æ—©çŸ¢ä»•æ™ƒç« -ç§‹å…ƒæ­£åš-ä¹…ä»£ç´€ä¹‹-ä¸­æ‘æ½¤-å¯ºæœ¬æ­£å½¦</t>
  </si>
  <si>
    <t>è¨€èªžå‡¦ç†ã‚·ã‚¹ãƒ†ãƒ ã‚’ã¤ãã‚‹</t>
  </si>
  <si>
    <t>QA76.9.N38</t>
  </si>
  <si>
    <t>Natural language processing (Computer science)</t>
  </si>
  <si>
    <t>ä½è—¤ç†å²</t>
  </si>
  <si>
    <t>å®Ÿè·µãƒ»è‡ªç„¶è¨€èªžå‡¦ç†ã‚·ãƒªãƒ¼ã‚º / è¨€èªžå‡¦ç†å­¦ä¼šç·¨</t>
  </si>
  <si>
    <t>ç¾¤ã®è¡¨ç¤º</t>
  </si>
  <si>
    <t>MATHEMATICS / Algebra / Intermediate</t>
  </si>
  <si>
    <t>QA176</t>
  </si>
  <si>
    <t>Representations of groups.</t>
  </si>
  <si>
    <t>ä½è—¤éš†å¤«</t>
  </si>
  <si>
    <t>å¤§å­¦æ•°å­¦ã‚¹ãƒãƒƒãƒˆãƒ©ã‚¤ãƒˆãƒ»ã‚·ãƒªãƒ¼ã‚º</t>
  </si>
  <si>
    <t>Control Engineering in Development Projects</t>
  </si>
  <si>
    <t>Rubin, Olis</t>
  </si>
  <si>
    <t>Scritti offerti dagli allievi a Francesco Paolo Luiso per il suo settantesimo compleanno</t>
  </si>
  <si>
    <t>KKH500</t>
  </si>
  <si>
    <t>Civil law--Italy.</t>
  </si>
  <si>
    <t>Bove, Mauro</t>
  </si>
  <si>
    <t>Il ricordo del prof. Amedeo Salzano nel trentennale dalla scomparsa</t>
  </si>
  <si>
    <t>HD30.42.I8</t>
  </si>
  <si>
    <t>Industrial management.,Industrial management--Research--Italy.</t>
  </si>
  <si>
    <t>Cavazzoni, Gianfranco</t>
  </si>
  <si>
    <t>Collana di Economia Aziendale e ContabilitaÌ€ di Impresa</t>
  </si>
  <si>
    <t>Processo amministrativo e translatio iudicii</t>
  </si>
  <si>
    <t>POLITICAL SCIENCE / American Government / Judicial Branch</t>
  </si>
  <si>
    <t>KKH1737 .P35 2017eb</t>
  </si>
  <si>
    <t>Jurisdiction--Italy.</t>
  </si>
  <si>
    <t>PALMA, MARIO</t>
  </si>
  <si>
    <t>Nuovi problemi di amministrazione pubblica</t>
  </si>
  <si>
    <t>Il procedimento penale davanti al tribunale in composizione monocratica</t>
  </si>
  <si>
    <t>aspetti problematici e soluzioni interpretative</t>
  </si>
  <si>
    <t>KKH3800</t>
  </si>
  <si>
    <t>Crime prevention--Italy.,Criminal law--Italy.,Law enforcement--Italy.</t>
  </si>
  <si>
    <t>Lonati, Simone.</t>
  </si>
  <si>
    <t>L'Unione bancaria europea</t>
  </si>
  <si>
    <t>profili costituzionali</t>
  </si>
  <si>
    <t>KJE4445 .I27 2017eb</t>
  </si>
  <si>
    <t>Banking law--European Union countries.,Constitutional law--European Union countries.</t>
  </si>
  <si>
    <t>IBRIDO, RENATO</t>
  </si>
  <si>
    <t>Per una koineÌ€ costituzionale</t>
  </si>
  <si>
    <t>Sul pensiero filosofico-giuridico di A.E. Cammarata</t>
  </si>
  <si>
    <t>dalla legalitaÌ€ alla giustizia nel formalismo giuridico</t>
  </si>
  <si>
    <t>KKH440</t>
  </si>
  <si>
    <t>Law--Philosophy.</t>
  </si>
  <si>
    <t>PALUMBO, CIRO</t>
  </si>
  <si>
    <t>UniversitaÌ€ degli Studi Sapienza di Roma. Accademia internazionale di filosofia del diritto</t>
  </si>
  <si>
    <t>Parassitismo e imitazione servile non confusoria</t>
  </si>
  <si>
    <t>KKH1155</t>
  </si>
  <si>
    <t>Commercial law--Italy.,Intellectual property--Italy.,Trademark licenses.</t>
  </si>
  <si>
    <t>Arcidiacono, Davide.</t>
  </si>
  <si>
    <t>UniversitaÌ€ di Catania. Pubblicazioni della FacoltaÌ€ di giurisprudenza. Nuova serie</t>
  </si>
  <si>
    <t>La prova illecita nel processo civile</t>
  </si>
  <si>
    <t>KKH1710</t>
  </si>
  <si>
    <t>Civil procedure--Italy.,Evidence (Law),Judicial process--Italy.,Trials--Italy.</t>
  </si>
  <si>
    <t>Passanante, Luca.</t>
  </si>
  <si>
    <t>Collana del Dipartimento di giurisprudenza. UniversitaÌ€ degli studi di Brescia. Nuova serie</t>
  </si>
  <si>
    <t>Il diritto di difesa dell'ente in fase cautelare</t>
  </si>
  <si>
    <t>KKH4630.D43</t>
  </si>
  <si>
    <t>Criminal procedure--Italy.,Defense (Criminal procedure)--Italy.</t>
  </si>
  <si>
    <t>RENZETTI, SILVIA</t>
  </si>
  <si>
    <t>Procedura penale. Studi</t>
  </si>
  <si>
    <t>L'attivitaÌ€ sindacale delle organizzazioni datoriali</t>
  </si>
  <si>
    <t>rappresentanza, rappresentativitaÌ€ e contrattazione</t>
  </si>
  <si>
    <t>KKH1402</t>
  </si>
  <si>
    <t>Collective bargaining--Law and legislation--Italy.,Labor unions--Law and legislation--Italy.</t>
  </si>
  <si>
    <t>PAPA, VERONICA</t>
  </si>
  <si>
    <t>Pubblicazioni della FacoltaÌ€ di giurisprudenza, UniversitaÌ€ di Catania. Nuova serie</t>
  </si>
  <si>
    <t>Il salario minimo legale</t>
  </si>
  <si>
    <t>aspettative e prospettive</t>
  </si>
  <si>
    <t>KKH1504</t>
  </si>
  <si>
    <t>Family allowances--Law and legislation--Italy.,Minimum wage--Law and legislation--Italy.,Social security--Law and legislation--Italy.</t>
  </si>
  <si>
    <t>Menegatti, Emanuele.</t>
  </si>
  <si>
    <t>Collana del Dipartimento di Sociologia e Diritto dell'Economia. UniversitaÌ€ di Bologna</t>
  </si>
  <si>
    <t>Intercettazioni e cariche istituzionali</t>
  </si>
  <si>
    <t>KKH4689</t>
  </si>
  <si>
    <t>Eavesdropping--Law and legislation--Italy.</t>
  </si>
  <si>
    <t>GABRIELLI, CHIARA</t>
  </si>
  <si>
    <t>Studi</t>
  </si>
  <si>
    <t>Le accise nel sistema dell'imposizione sui consumi</t>
  </si>
  <si>
    <t>KKH3627</t>
  </si>
  <si>
    <t>Taxation of articles of consumption--European Union countries.,Taxation of articles of consumption--Italy.,Taxation--Law and legislation--European Union countries.,Taxation--Law and legislation--Italy.</t>
  </si>
  <si>
    <t>VERRIGNI, CATERINA</t>
  </si>
  <si>
    <t>Diritto tributario italiano ed europeo. Sezione Monografie e ricerche</t>
  </si>
  <si>
    <t>L'autonomia tributaria delle regioni a statuto speciale e delle province autonome</t>
  </si>
  <si>
    <t>KKH3660</t>
  </si>
  <si>
    <t>Local finance--Italy.,Local taxation--Italy.,Taxation--Law and legislation--Italy.</t>
  </si>
  <si>
    <t>SCANU, GIUSEPPE</t>
  </si>
  <si>
    <t>Il nuovo procedimento in cassazione</t>
  </si>
  <si>
    <t>LAW / Civil Procedure</t>
  </si>
  <si>
    <t>Civil procedure--Italy.</t>
  </si>
  <si>
    <t>Dalfino, Domenico</t>
  </si>
  <si>
    <t>Prova legale e libero convincimento del giudice</t>
  </si>
  <si>
    <t>KKH1771 .R87 2017eb</t>
  </si>
  <si>
    <t>Evidence (Law)--Italy.,Judicial discretion--Italy.</t>
  </si>
  <si>
    <t>RUSSO, MARCO</t>
  </si>
  <si>
    <t>Biblioteca di diritto processuale civile</t>
  </si>
  <si>
    <t>Profili sistematici delle perdite su crediti nel reddito d'impresa</t>
  </si>
  <si>
    <t>KKH1061 .T75 2017eb</t>
  </si>
  <si>
    <t>Corporate debt--Law and legislation--Italy.,Corporations--Taxation--Law and legislation--Italy.</t>
  </si>
  <si>
    <t>TRIVELLIN, MAURO</t>
  </si>
  <si>
    <t>Diritto tributario italiano ed europeo. Monografie e ricerche</t>
  </si>
  <si>
    <t>Il giusto processo amministrativo tra esigenze di celeritaÌ€ e garanzie di effettivitaÌ€ della tutela</t>
  </si>
  <si>
    <t>KKH2720</t>
  </si>
  <si>
    <t>Administrative law--Italy.,Fair trial--Italy.,Speedy trial--Italy.</t>
  </si>
  <si>
    <t>SINISI, MARTINA</t>
  </si>
  <si>
    <t>Unioni di fatto</t>
  </si>
  <si>
    <t>Dal diritto romano ai diritti attuali</t>
  </si>
  <si>
    <t>KKH542</t>
  </si>
  <si>
    <t>Marriage law--Italy.,Unmarried couples--Legal status, laws, etc.--Italy.</t>
  </si>
  <si>
    <t>Viarengo, Gloria.</t>
  </si>
  <si>
    <t>Futuro anteriore</t>
  </si>
  <si>
    <t>Tutela paesistica e paesaggio agrario</t>
  </si>
  <si>
    <t>atti del convegno, Portovenere, 3-4 giugno 2016</t>
  </si>
  <si>
    <t>KKH3127.A67</t>
  </si>
  <si>
    <t>Environmental law--Italy--Congresses.,Offenses against the environment--Law and legislation--Italy--Congresses.</t>
  </si>
  <si>
    <t>Granara, Daniele.</t>
  </si>
  <si>
    <t>Das italienische Gesetzbuch fuÌˆr das gewerbliche Eigentum</t>
  </si>
  <si>
    <t>Codice della proprietaÌ€ industriale italiano</t>
  </si>
  <si>
    <t>KKH920</t>
  </si>
  <si>
    <t>Commercial law--Italy.,Finance--Law and legislation--Italy.</t>
  </si>
  <si>
    <t>Venchiarutti, Angelo.</t>
  </si>
  <si>
    <t>Lavoro ed esigenze dell'impresa fra diritto sostanziale e processo dopo il Jobs Act</t>
  </si>
  <si>
    <t>Zoppoli, Lorenzo.</t>
  </si>
  <si>
    <t>Biblioteca di diritto del lavoro</t>
  </si>
  <si>
    <t>Servicios de intereÌs general, colaboracioÌn puÌblico-privada y sectores especiÌficos</t>
  </si>
  <si>
    <t>International and municipal law--Italy.,Service industries--Law and legislation--Italy.</t>
  </si>
  <si>
    <t>Parisio, Vera.-Aguado i CudolaÌ€, VicencÌ§.-Tornos Mas, JoaquiÌn.</t>
  </si>
  <si>
    <t>Collana del Dipartimento di Giurisprudenza. UniversitaÌ€ degli Studi di Brescia. Nuova Serie</t>
  </si>
  <si>
    <t>L'evoluzione del peacekeeping</t>
  </si>
  <si>
    <t>il ruolo dell'Italia</t>
  </si>
  <si>
    <t>Caracciolo, Ida-Montuoro, Umberto</t>
  </si>
  <si>
    <t>Medicine Unbundled</t>
  </si>
  <si>
    <t>A Journey Through the Minefields of Indigenous Health Care</t>
  </si>
  <si>
    <t>RA450.4.I53 G43 2017</t>
  </si>
  <si>
    <t>Discrimination in medical care--Canada--History--20th century.,Hospitals--Canada--History--20th century.</t>
  </si>
  <si>
    <t>Geddes, Gary</t>
  </si>
  <si>
    <t>Perspectiva de gÃ©nero en la intervenciÃ³n en Drogodependencias: PrevenciÃ³n, asistencia, formaciÃ³n e investigaciÃ³n</t>
  </si>
  <si>
    <t>FotocomposiciÃ³n Ipar</t>
  </si>
  <si>
    <t>Universidad de Deusto</t>
  </si>
  <si>
    <t>Elisabete Arostegui-Juan Manuel GonzÃ¡lez de Audikana</t>
  </si>
  <si>
    <t>Meltzer in Sao Paulo</t>
  </si>
  <si>
    <t>Karnac Books</t>
  </si>
  <si>
    <t>Harris Meltzer Trust</t>
  </si>
  <si>
    <t>BF173</t>
  </si>
  <si>
    <t>Psychoanalysis.</t>
  </si>
  <si>
    <t>Colucci, Alfredo.-Korbivcher, Celia Fix.-Lisondo, Alicia.-Melega, Marisa.-Ribeiro, Martha.-Sandler, P.C.</t>
  </si>
  <si>
    <t>The Harris Meltzer Trust Series</t>
  </si>
  <si>
    <t>Drawing Lessons From the Famous Artists School</t>
  </si>
  <si>
    <t>Classic Techniques and Expert Tips From the Golden Age of Illustration - Featuring the Work and Words of Norman Rockwell, Albert Dorne, and Other Celebrated 20th-century Illustrators</t>
  </si>
  <si>
    <t>Quarto Publishing Group</t>
  </si>
  <si>
    <t>Rockport Publishers</t>
  </si>
  <si>
    <t>ART / Techniques / Drawing</t>
  </si>
  <si>
    <t>NC650</t>
  </si>
  <si>
    <t>Haboush Plunkett, Stephanie.-Livesey, Magdalen.</t>
  </si>
  <si>
    <t>Art Studio Classics</t>
  </si>
  <si>
    <t>Communication, Signal Processing &amp; Information Technology</t>
  </si>
  <si>
    <t>TECHNOLOGY &amp; ENGINEERING / Signals &amp; Signal Processing</t>
  </si>
  <si>
    <t>Faouzi Derbel-Olfa Kanoun-Nabil Derbel</t>
  </si>
  <si>
    <t>Advances in Systems, Signals and Devices</t>
  </si>
  <si>
    <t>Pragmatics of Fiction</t>
  </si>
  <si>
    <t>Miriam A. Locher-Andreas H. Jucker</t>
  </si>
  <si>
    <t>Handbooks of Pragmatics [HOPS]</t>
  </si>
  <si>
    <t>Bodily and Spiritual Hygiene in Medieval and Early Modern Literature</t>
  </si>
  <si>
    <t>Explorations of Textual Presentations of Filth and Water</t>
  </si>
  <si>
    <t>PN682</t>
  </si>
  <si>
    <t>Bathing customs--Europe--History--Sources.,Hygiene in literature.,Hygiene--Europe--History--Sources.,Literature, Medieval--History and criticism.,Literature, Modern--History and criticism.,Public health--Europe--History--Sources.,Spirituality--Social aspects--Europe--History--Sources.,Water--Social aspects--Europe--History--Sources.</t>
  </si>
  <si>
    <t>Classen, Albrecht.</t>
  </si>
  <si>
    <t>Fundamentals of Medieval and Early Modern Culture</t>
  </si>
  <si>
    <t>Motifs in Language and Text</t>
  </si>
  <si>
    <t>Haitao Liu-Junying Liang</t>
  </si>
  <si>
    <t>Quantitative Linguistics [QL]</t>
  </si>
  <si>
    <t>Le lycÃ©e professionnel : relÃ©guÃ© et avant-gardiste ?</t>
  </si>
  <si>
    <t>Fondation Maison des Sciences de l'Homme - Diffusion</t>
  </si>
  <si>
    <t>ENS Ã‰ditions</t>
  </si>
  <si>
    <t>LC1043</t>
  </si>
  <si>
    <t>Career education.,Vocational education.</t>
  </si>
  <si>
    <t>Kaplinsky, Jean-Pascal.-Lopez, Maryse.-Rosenfeld, Judith.-Sido, Xavier.-Verdier, EÌric.</t>
  </si>
  <si>
    <t>Entretiens Ferdinand Buisson</t>
  </si>
  <si>
    <t>Femmes dÃ©voilÃ©es. Des AlgÃ©riennes en France Ã  l'heure de la dÃ©colonisation</t>
  </si>
  <si>
    <t>DC34.5.A4 A64 2016</t>
  </si>
  <si>
    <t>Algerians--France--Social conditions--20th century.,Decolonization--Algeria.,Muslim women--France--Social conditions--20th century.</t>
  </si>
  <si>
    <t>AndreÌ, Marc</t>
  </si>
  <si>
    <t>SocieÌteÌs, espaces, temps</t>
  </si>
  <si>
    <t>La gÃ©ographie, Ã©mergence d'un champ scientifique. France, Prusse et Grande-Bretagne (1780-1860)</t>
  </si>
  <si>
    <t>G96 .P43 2016</t>
  </si>
  <si>
    <t>Geography--Europe--History.</t>
  </si>
  <si>
    <t>PeÌaud, Laura</t>
  </si>
  <si>
    <t>Collection SocieÌteÌs, espaces, temps</t>
  </si>
  <si>
    <t>Condillac, philosophe du langage ?</t>
  </si>
  <si>
    <t>B1988.L3 C66 2016eb</t>
  </si>
  <si>
    <t>Language and languages--Philosophy.</t>
  </si>
  <si>
    <t>Bertrand, AlieÌnor.-Dessalles, Jean-Louis.</t>
  </si>
  <si>
    <t>La croiseÌe des chemins</t>
  </si>
  <si>
    <t>Les sÅ“urs GrimkÃ©</t>
  </si>
  <si>
    <t>De l'antiesclavagisme aux droits de la femme</t>
  </si>
  <si>
    <t>E449.G865</t>
  </si>
  <si>
    <t>Antislavery movements--United States--History--19th century.,Feminists--South Carolina--Biography.,Sisters--South Carolina--Biography.,Women abolitionists--South Carolina--Biography.,Women's rights--United States--History--19th century.</t>
  </si>
  <si>
    <t>Collomb-Boureau, Colette</t>
  </si>
  <si>
    <t>Les fondamentaux du feÌminisme anglo-saxon</t>
  </si>
  <si>
    <t>Catherine Deneuve femme maison</t>
  </si>
  <si>
    <t>PN2638.D47 K47 2016eb</t>
  </si>
  <si>
    <t>Dwellings in motion pictures.</t>
  </si>
  <si>
    <t>Kessler, JeÌreÌmie</t>
  </si>
  <si>
    <t>Collection Tohu Bohu</t>
  </si>
  <si>
    <t>Le politique doit-il se mÃªler d'Ã©ducation ?</t>
  </si>
  <si>
    <t>LC93.F8 B64 2016</t>
  </si>
  <si>
    <t>Education and state--France.,Education--Political aspects--France.</t>
  </si>
  <si>
    <t>Bongrand, Philippe.</t>
  </si>
  <si>
    <t>L'invitation au voyage</t>
  </si>
  <si>
    <t>GÃ©ographie post-coloniale du tourisme domestique au Viá»‡t Nam</t>
  </si>
  <si>
    <t>HISTORY / Historical Geography</t>
  </si>
  <si>
    <t>G155.V5 P476 2016eb</t>
  </si>
  <si>
    <t>Heritage tourism--Vietnam--History--21st century.,Tourism--Vietnam--History--21st century.</t>
  </si>
  <si>
    <t>Peyvel, Emmanuelle.</t>
  </si>
  <si>
    <t>Collection De l'Orient aÌ€ l'Occident</t>
  </si>
  <si>
    <t>Â¿Culturas shakespearianas? TeorÃ­a mimÃ©tica y AmÃ©rica Latina</t>
  </si>
  <si>
    <t>JoÃ£o Cezar de Castro Rocha</t>
  </si>
  <si>
    <t>Contribuciones de Gandhi a los movimientos actuales de liberaciÃ³n</t>
  </si>
  <si>
    <t>RaÃºl HernÃ¡ndez Garciadiego</t>
  </si>
  <si>
    <t>Trump, de amenaza latente a peligrosa realidad (AnÃ¡lisis plural)</t>
  </si>
  <si>
    <t>Juan Carlos NÃºÃ±ez Bustillos-Francisco Javier NÃºÃ±ez de la PeÃ±a-Luis Ignacio RomÃ¡n Morales-Sergio Negrete CÃ¡rdenas-Jorge Enrique Rocha Quintero-Ana Mar</t>
  </si>
  <si>
    <t>Senderos en la niebla. Repensar el papel de la educaciÃ³n y la tarea de la universidad</t>
  </si>
  <si>
    <t>Garza SaldÃ­var, HÃ©ctor</t>
  </si>
  <si>
    <t>CÌŒeskaÌ sborovaÌ tvorba II</t>
  </si>
  <si>
    <t>(baroko a klasicismus)</t>
  </si>
  <si>
    <t>Charles University, Faculty of Education Press</t>
  </si>
  <si>
    <t>Charles University, Faculty of Education</t>
  </si>
  <si>
    <t>MUSIC / Genres &amp; Styles / Classical</t>
  </si>
  <si>
    <t>ML390</t>
  </si>
  <si>
    <t>Choral music--Czech Republic--History--17th century.,Choral music--Czech Republic--History--18th century.,Composers--Czech Republic--Biography.</t>
  </si>
  <si>
    <t>PechÃ¡Äek, Stanislav</t>
  </si>
  <si>
    <t>Filipinas Everywhere - Essays in Criticism and Cultural Studies From a Filipino Perspective</t>
  </si>
  <si>
    <t>Sussex Academic Press</t>
  </si>
  <si>
    <t>DS686.614</t>
  </si>
  <si>
    <t>Juan, E.</t>
  </si>
  <si>
    <t>The Lusophone World</t>
  </si>
  <si>
    <t>The Evolution of Portuguese National Narratives</t>
  </si>
  <si>
    <t>POLITICAL SCIENCE / World / General</t>
  </si>
  <si>
    <t>DP534.5 .A83 2017eb</t>
  </si>
  <si>
    <t>Globalization.,Group identity--Portuguese-speaking countries.,National characteristics.</t>
  </si>
  <si>
    <t>Ashby, Sarah</t>
  </si>
  <si>
    <t>The Portuguese-speaking World: Its History, Politics and Culture</t>
  </si>
  <si>
    <t>The Intellectual Response to the First World War</t>
  </si>
  <si>
    <t>How the Conflict Impacted on Ideas, Methods and Fields of Enquiry</t>
  </si>
  <si>
    <t>D524.7.E85 I78 2017eb</t>
  </si>
  <si>
    <t>Intellectuals--Europe--History--20th century.,Knowledge, Sociology of--History--20th century.,War and society--Europe--History--20th century.,World War, 1914-1918--Influence.,World War, 1914-1918--Social aspects--Europe.</t>
  </si>
  <si>
    <t>Posman, Sarah-Dijck, Cedric van-Demoor, Marysa</t>
  </si>
  <si>
    <t>Foreign Exchange Intervention and the Dutch Disease</t>
  </si>
  <si>
    <t>Faltermeier, Julia-Lama, Ruy-Medina, Juan Pabl</t>
  </si>
  <si>
    <t>Gone with the Headwinds</t>
  </si>
  <si>
    <t>Adler, Gustavo-Duval, Romain A-Furceri, Davide-KiliÃ§ Ã‡elik, Sinem-Koloskova, Ksenia-Poplawski-Ribeiro, Marco</t>
  </si>
  <si>
    <t>Understanding Inflation in Malawi</t>
  </si>
  <si>
    <t>Frank Wu, Don</t>
  </si>
  <si>
    <t>Cluster Report</t>
  </si>
  <si>
    <t>International Monetary Fund. Western Hemisphere Dept.,</t>
  </si>
  <si>
    <t>The Volatility of Capital Flows in Emerging Markets</t>
  </si>
  <si>
    <t>Sole Pagliari, Maria-Ahmed Hannan, Swarnal</t>
  </si>
  <si>
    <t>Fiscal Policy Effectiveness in a Small Open Economy</t>
  </si>
  <si>
    <t>David, Antoni</t>
  </si>
  <si>
    <t>Use of Technology in Tax Administrations 2</t>
  </si>
  <si>
    <t>Cotton, Margaret-Dark, Gregor</t>
  </si>
  <si>
    <t>Direct and Spillover Effects of Unconventional Monetary and Exchange Rate Policies</t>
  </si>
  <si>
    <t>Gagnon, Joseph E.-Bayoumi, Tamim-Londono, Juan M.-Saborowski, Christian-Sapriza, Horaci</t>
  </si>
  <si>
    <t>Brazilian Market Portfolio</t>
  </si>
  <si>
    <t>Tessari, Cristina-Meyer-Cirkel, Alexi</t>
  </si>
  <si>
    <t>Exchange Rates and Trade</t>
  </si>
  <si>
    <t>Leigh, Daniel-Lian, Weicheng-Poplawski-Ribeiro, Marcos-Szymanski, Rachel-Tsyrennikov, Viktor-Yang, Hon</t>
  </si>
  <si>
    <t>Launching Export Accelerations in Latin America and the World</t>
  </si>
  <si>
    <t>Cerra, Valerie-Tesfaye Woldemichael, Marth</t>
  </si>
  <si>
    <t>Private and Public Debt</t>
  </si>
  <si>
    <t>Bernardini, Marco-Forni, Lorenz</t>
  </si>
  <si>
    <t>Aftershocks of Monetary Unification</t>
  </si>
  <si>
    <t>Bayoumi, Tamim-Eichengreen, Barry J</t>
  </si>
  <si>
    <t>The Drivers of Capital Flows in Emerging Markets Post Global Financial Crisis</t>
  </si>
  <si>
    <t>Ahmed Hannan, Swarnal</t>
  </si>
  <si>
    <t>Use of Technology in Tax Administrations 3</t>
  </si>
  <si>
    <t>Bank Ownership</t>
  </si>
  <si>
    <t>Cull, Robert-Martinez Peria, Maria Soledad-Verrier, Jeann</t>
  </si>
  <si>
    <t>Use of Technology in Tax Administrations 1</t>
  </si>
  <si>
    <t>Pension Reform Options in Chile</t>
  </si>
  <si>
    <t>Santoro, Marik</t>
  </si>
  <si>
    <t>Trade Liberalization in Peru</t>
  </si>
  <si>
    <t>BaldÃ¡rrago, Elin-Salinas, Gonzal</t>
  </si>
  <si>
    <t>Evaluating Changes in the Transmission Mechanism of Government Spending Shocks</t>
  </si>
  <si>
    <t>Rebei, Nooma</t>
  </si>
  <si>
    <t>Public Debt Sustainability Under Uncertainty</t>
  </si>
  <si>
    <t>Rozenov, Rosse</t>
  </si>
  <si>
    <t>Credit-Supply Shocks and Firm Productivity in Italy</t>
  </si>
  <si>
    <t>DÃ¶rr, Sebastian-Raissi, Mehdi-Weber, Ank</t>
  </si>
  <si>
    <t>Revisiting the Link Between Trade, Growth and Inequality</t>
  </si>
  <si>
    <t>Beaton, Kimberly-Cebotari, Aliona-Komaromi, Andra</t>
  </si>
  <si>
    <t>Effects of Timeliness on the Trade Pattern Between Primary and Processed Goods</t>
  </si>
  <si>
    <t>Baniya, Suprabh</t>
  </si>
  <si>
    <t>Fiscal Decentralization and Fiscal Policy Performance</t>
  </si>
  <si>
    <t>Sow, MoussÃ©-Razafimahefa, Ivohasina</t>
  </si>
  <si>
    <t>Composition of Trade in Latin America and the Caribbean</t>
  </si>
  <si>
    <t>Ding, Xiaodan-Hadzi-Vaskov, Metodi</t>
  </si>
  <si>
    <t>Managing the Tide</t>
  </si>
  <si>
    <t>Ghosh, Atish R.-Ostry, Jonathan David-Qureshi, Mahvash</t>
  </si>
  <si>
    <t>Labor Force Participation in Chile</t>
  </si>
  <si>
    <t>Blagrave, Patrick-Santoro, Marik</t>
  </si>
  <si>
    <t>The Impact of Trade Agreements in Latin America Using the Synthetic Control Method</t>
  </si>
  <si>
    <t>Lower Bound Beliefs and Long-Term Interest Rates</t>
  </si>
  <si>
    <t>Grisse, Christian-Krogstrup, Signe-Schumacher, Silvi</t>
  </si>
  <si>
    <t>Macroprudential Policy, Incomplete Information and Inequality</t>
  </si>
  <si>
    <t>Rubio, Margarita-Unsal, Filiz</t>
  </si>
  <si>
    <t>How Is the Likelihood of Fire Sales in a Crisis Affected by the Interaction of Various Bank Regulations?</t>
  </si>
  <si>
    <t>Kirti, Divya-Narasiman, Vija</t>
  </si>
  <si>
    <t>Can Italy Grow Out of Its NPL Overhang? A Panel Threshold Analysis</t>
  </si>
  <si>
    <t>Mohaddes, Kamiar-Raissi, Mehdi-Weber, Ank</t>
  </si>
  <si>
    <t>Spillovers From U.S. Monetary Policy Normalization on Brazil and Mexicoâ€™s Sovereign Bond Yields</t>
  </si>
  <si>
    <t>GÃ³es, Carlos-Kamil, Herman-De Imus, Phil-Garcia-Escribano, Mercedes-Perrelli, Roberto-Roache, Shaun K.-Zook, Jerem</t>
  </si>
  <si>
    <t>The Macroeconomics of De-Cashing</t>
  </si>
  <si>
    <t>Curse on This Country</t>
  </si>
  <si>
    <t>The Rebellious Army of Imperial Japan</t>
  </si>
  <si>
    <t>UB789</t>
  </si>
  <si>
    <t>Insubordination--Japan--History.,Military discipline--Japan--History.,Sociology, Military--Japan--History.</t>
  </si>
  <si>
    <t>Orbach, Danny</t>
  </si>
  <si>
    <t>A Minor Apocalypse</t>
  </si>
  <si>
    <t>Warsaw During the First World War</t>
  </si>
  <si>
    <t>HISTORY / Military / World War I</t>
  </si>
  <si>
    <t>DK4632 .B55 2017</t>
  </si>
  <si>
    <t>World War, 1914-1918--Social aspects--Poland--Warsaw.</t>
  </si>
  <si>
    <t>Blobaum, Robert.</t>
  </si>
  <si>
    <t>Was die PDL wissen muss</t>
  </si>
  <si>
    <t>Das etwas andere QualitÃ¤tshandbuch in der Altenpflege</t>
  </si>
  <si>
    <t>RC954</t>
  </si>
  <si>
    <t>Geriatric nursing--Handbooks, manuals, etc.</t>
  </si>
  <si>
    <t>KoÌˆnig, Jutta.</t>
  </si>
  <si>
    <t>La antropologiÌa de las fronteras de Tailandia como espacios de flujo</t>
  </si>
  <si>
    <t>El Colegio de Mexico, A.C.</t>
  </si>
  <si>
    <t>El Colegio de MÃ©xico</t>
  </si>
  <si>
    <t>DS569 .A58 2016eb</t>
  </si>
  <si>
    <t>Borderlands--Thailand.,Ethnicity--Thailand.,National characteristics, Thai.,Tourism--Thailand.</t>
  </si>
  <si>
    <t>Marston, John A.</t>
  </si>
  <si>
    <t>Documents on Irish Foreign Policy</t>
  </si>
  <si>
    <t>Royal Irish Academy</t>
  </si>
  <si>
    <t>DA964.A2 D63 2017eb</t>
  </si>
  <si>
    <t>Constitutional history--Ireland--Sources.,Diplomatic and consular service, Irish--History--Sources.,Territory, National--Ireland--History--Sources.</t>
  </si>
  <si>
    <t>Fanning, Ronan-Royal Irish Academy.-Kennedy, Michael-Ireland.-Keogh, Dermot-O'Halpin, Eunan</t>
  </si>
  <si>
    <t>The Museum of Possibilities</t>
  </si>
  <si>
    <t>PR9199.4.S5375 A6 2017</t>
  </si>
  <si>
    <t>Short stories, Canadian--21st century.</t>
  </si>
  <si>
    <t>Sibbald, Barbara.</t>
  </si>
  <si>
    <t>Horst Pietschmann. Acomodos polÃ­ticos, mentalidades y vÃ­as de cambio: MÃ©xico en el marco de la monarquÃ­a</t>
  </si>
  <si>
    <t>Covarrubias, JosÃ© Enrique-Zoraida VÃ¡zquez, Josefina</t>
  </si>
  <si>
    <t>El gÃ©nero en movimiento. Familias y migraciones</t>
  </si>
  <si>
    <t>Zavala de CosÃ­o, MarÃ­a Eugenia y Virginie RozÃ©e Gomez</t>
  </si>
  <si>
    <t>Algo mÃ¡s sobre JosÃ© Gaos. Seguido de una bibliohemerografÃ­a aproximada</t>
  </si>
  <si>
    <t>Uranga, Emilio</t>
  </si>
  <si>
    <t>Paths of Wisdom</t>
  </si>
  <si>
    <t>Cabala in the Golden Dawn Tradition</t>
  </si>
  <si>
    <t>Aeon Books</t>
  </si>
  <si>
    <t>John Michael Greer</t>
  </si>
  <si>
    <t>Adobe After Effects CC 2017</t>
  </si>
  <si>
    <t>Das praktische Handbuch</t>
  </si>
  <si>
    <t>TA1637</t>
  </si>
  <si>
    <t>Cinematography--Special effects--Data processing.,Image processing--Digital techniques.</t>
  </si>
  <si>
    <t>FroÌˆmelt, Georg</t>
  </si>
  <si>
    <t>mitp Grafik</t>
  </si>
  <si>
    <t>Pintura figurativa del siglo XX (4a. ed.)</t>
  </si>
  <si>
    <t>Hiares Multimedia 2013 S.L.</t>
  </si>
  <si>
    <t>HIARES MULTIMEDIA</t>
  </si>
  <si>
    <t>ND801 B191 2016eb</t>
  </si>
  <si>
    <t>Art--History.,Figurative painting, Spanish.,Painting, Spanish.</t>
  </si>
  <si>
    <t>Ballesteros Arranz, Ernesto.</t>
  </si>
  <si>
    <t>La escultura y la pintura goÌticas</t>
  </si>
  <si>
    <t>ART / Sculpture &amp; Installation</t>
  </si>
  <si>
    <t>ND140 .B35 2016eb</t>
  </si>
  <si>
    <t>Painting, Gothic.,Sculpture, Gothic.</t>
  </si>
  <si>
    <t>The Burgess Shale</t>
  </si>
  <si>
    <t>The Canadian Writing Landscape of the 1960s</t>
  </si>
  <si>
    <t>University of Alberta Press (eBOUND)</t>
  </si>
  <si>
    <t>The University of Alberta Press</t>
  </si>
  <si>
    <t>PR9189.6</t>
  </si>
  <si>
    <t>Canadian literature--20th century--History and criticism.,Nineteen sixties--Intellectual life.</t>
  </si>
  <si>
    <t>Atwood, Margaret-Canadian Literature Centre</t>
  </si>
  <si>
    <t>CLC Kreisel Lecture Series</t>
  </si>
  <si>
    <t>Mosaic Space and Mosaic Auteurs</t>
  </si>
  <si>
    <t>On the Cinema of Alejandro GonzaÌlez InÌƒaÌrritu, Atom Egoyan, Hou Hsiao-hsien, Michael Haneke</t>
  </si>
  <si>
    <t>Neofelis Verlag</t>
  </si>
  <si>
    <t>PN1996 .C54 2017eb</t>
  </si>
  <si>
    <t>Motion picture authorship--History.,Motion pictures and transnationalism.,Multiple person narrative.</t>
  </si>
  <si>
    <t>Chen, Yun-hua</t>
  </si>
  <si>
    <t>BOMBS, BULLETS AND THE BORDER</t>
  </si>
  <si>
    <t>Irish Academic Press</t>
  </si>
  <si>
    <t>DA990.U46</t>
  </si>
  <si>
    <t>Political culture--Northern Ireland.</t>
  </si>
  <si>
    <t>MULROE, PADDY.</t>
  </si>
  <si>
    <t>A National Home for Jewish People</t>
  </si>
  <si>
    <t>The Concept in British Political Thinking and Policy Making 1917-1923</t>
  </si>
  <si>
    <t>DS149.5.G74 B37 2017</t>
  </si>
  <si>
    <t>Zionism--Great Britain--History--20th century.</t>
  </si>
  <si>
    <t>Barzilay-Yegar, Dvorah</t>
  </si>
  <si>
    <t>Thinking Freedom in Africa</t>
  </si>
  <si>
    <t>Toward a Theory of Emancipatory Politics</t>
  </si>
  <si>
    <t>Liberty--Philosophy.,Political science--Philosophy.</t>
  </si>
  <si>
    <t>Neocosmos, Michael.</t>
  </si>
  <si>
    <t>Rabbinat bei Franz Rosenzweig</t>
  </si>
  <si>
    <t>B3327.R64</t>
  </si>
  <si>
    <t>Rabbis.</t>
  </si>
  <si>
    <t>Will, Michaela</t>
  </si>
  <si>
    <t>Palestine's Horizon</t>
  </si>
  <si>
    <t>Toward a Just Peace</t>
  </si>
  <si>
    <t>POLITICAL SCIENCE / Political Process / Political Advocacy</t>
  </si>
  <si>
    <t>DS119.76 .F35 2017</t>
  </si>
  <si>
    <t>Arab-Israeli conflict--1993---Peace.</t>
  </si>
  <si>
    <t>Falk, Richard A.</t>
  </si>
  <si>
    <t>Kurdish Hizbullah in Turkey</t>
  </si>
  <si>
    <t>Islamism, Violence and the State</t>
  </si>
  <si>
    <t>DR435 .K87 2017</t>
  </si>
  <si>
    <t>Islam and politics--Turkey.,Kurds--Turkey.</t>
  </si>
  <si>
    <t>Kurt, Mehmet</t>
  </si>
  <si>
    <t>State Crime</t>
  </si>
  <si>
    <t>The Unchosen</t>
  </si>
  <si>
    <t>The Lives of Israel's New Others</t>
  </si>
  <si>
    <t>JV8749 .J37 2017eb</t>
  </si>
  <si>
    <t>Refugees--Israel.</t>
  </si>
  <si>
    <t>Jaradat, Mya Guarnieri</t>
  </si>
  <si>
    <t>Daniel Rudd</t>
  </si>
  <si>
    <t>Calling a Church to Justice</t>
  </si>
  <si>
    <t>Liturgical Press</t>
  </si>
  <si>
    <t>E185.97.R83 A432 2017eb</t>
  </si>
  <si>
    <t>African American Catholics--Biography.,African American Catholics--Newspapers.,African American journalists--Biography.,African American political activists--Biography.,African Americans--Biography.,African Americans--Civil rights--History.,Civil rights--Religious aspects--Catholic Church--History.,Social justice--United States--History.</t>
  </si>
  <si>
    <t>Agee, Gary Bruce</t>
  </si>
  <si>
    <t>People of God</t>
  </si>
  <si>
    <t>Wildlife</t>
  </si>
  <si>
    <t>Perceptions, Threats and Conservation</t>
  </si>
  <si>
    <t>QL82</t>
  </si>
  <si>
    <t>Endangered species.,Wildlife conservation.</t>
  </si>
  <si>
    <t>Ward, Cheryl</t>
  </si>
  <si>
    <t>Wildlife Protection, Destruction and Extinction</t>
  </si>
  <si>
    <t>Blood Viscosity</t>
  </si>
  <si>
    <t>Its Role in Cardiovascular Pathophysiology and Hematology</t>
  </si>
  <si>
    <t>MEDICAL / Physiology</t>
  </si>
  <si>
    <t>QP105</t>
  </si>
  <si>
    <t>Blood--Viscosity.</t>
  </si>
  <si>
    <t>Sloop, Gregory D.</t>
  </si>
  <si>
    <t>Pathology Research and Practices</t>
  </si>
  <si>
    <t>Biotechnological Applications of Seaweeds</t>
  </si>
  <si>
    <t>SCIENCE / Life Sciences / Microbiology</t>
  </si>
  <si>
    <t>QK570.2</t>
  </si>
  <si>
    <t>Marine algae--Utilization.</t>
  </si>
  <si>
    <t>Nabti, Elhafid</t>
  </si>
  <si>
    <t>Filling the Ranks</t>
  </si>
  <si>
    <t>Manpower in the Canadian Expeditionary Force, 1914-1918</t>
  </si>
  <si>
    <t>UB325.C2 H65 2017eb</t>
  </si>
  <si>
    <t>World War, 1914-1918.,World War, 1914-1918--Regimental histories--Canada.</t>
  </si>
  <si>
    <t>Holt, Richard</t>
  </si>
  <si>
    <t>Carleton Library Series</t>
  </si>
  <si>
    <t>Inflation-Forecast Targeting for India</t>
  </si>
  <si>
    <t>Benes, Jaromir-Clinton, Kevin-George, Asish-John, Joice-Kamenik, Ondra-Laxton, Douglas-Mitra, Pratik-Nadhanael, G.V.-Wang, Ho</t>
  </si>
  <si>
    <t>Finance and Development, March 2017</t>
  </si>
  <si>
    <t>Women at Work in Latin America and the Caribbean</t>
  </si>
  <si>
    <t>Novta, Natalija-Wong, Joyc</t>
  </si>
  <si>
    <t>What Has Happened to Sub-Regional Public Sector Efficiency in England Since the Crisis?</t>
  </si>
  <si>
    <t>Beidas-Strom, Samy</t>
  </si>
  <si>
    <t>Banks, Firms, and Jobs</t>
  </si>
  <si>
    <t>Berton, Fabio-Mocetti, Sauro-Presbitero, Andrea-Richiardi, Matte</t>
  </si>
  <si>
    <t>Exploring the Role of Foreign Investors in Russia's Local Currency Government Bond (OFZ) Market</t>
  </si>
  <si>
    <t>Lu, Yinqiu-Yakovlev, Dmitr</t>
  </si>
  <si>
    <t>Sectoral Labor Mobility and Optimal Monetary Policy</t>
  </si>
  <si>
    <t>Cantelmo, Alessandro-Melina, Giovann</t>
  </si>
  <si>
    <t>Quarterly Projection Model for India</t>
  </si>
  <si>
    <t>Benes, Jaromir-Clinton, Kevin-George, Asish-Gupta, Pranav-John, Joice-Kamenik, Ondra-Laxton, Douglas-Mitra, Pratik-Nadhanael, G.V</t>
  </si>
  <si>
    <t>What Influences Bank Lending in Saudi Arabia?</t>
  </si>
  <si>
    <t>Miyajima, Ke</t>
  </si>
  <si>
    <t>Governments and Promised Fiscal Consolidations</t>
  </si>
  <si>
    <t>Gupta, Sanjeev-Jalles, JoÃ£o Tovar-Mulas-Granados, Carlos-Schena, Michel</t>
  </si>
  <si>
    <t>Terms-of-Trade Cycles and External Adjustment</t>
  </si>
  <si>
    <t>Adler, Gustavo-Magud, Nicolas E-Werner, Alejandro M</t>
  </si>
  <si>
    <t>Assessing the Fragility of Global Trade</t>
  </si>
  <si>
    <t>Korniyenko, Yevgeniya-Pinat, Magali-Dew, Bria</t>
  </si>
  <si>
    <t>The Growth Return of Infrastructure in Latin America</t>
  </si>
  <si>
    <t>Lanau, Serg</t>
  </si>
  <si>
    <t>A Fresh Look at Potential Output in Central, Eastern, and Southeastern European Countries</t>
  </si>
  <si>
    <t>Podpiera, Jiri-Raei, Faezeh-Stepanyan, Ar</t>
  </si>
  <si>
    <t>Thomas Hirschhorn</t>
  </si>
  <si>
    <t>A New Political Understanding of Art?</t>
  </si>
  <si>
    <t>University Press of New England</t>
  </si>
  <si>
    <t>Dartmouth</t>
  </si>
  <si>
    <t>ART / History / Contemporary (1945-)</t>
  </si>
  <si>
    <t>N7153.H57</t>
  </si>
  <si>
    <t>Art--Political aspects.</t>
  </si>
  <si>
    <t>Braun, Christina-Lindberg, Steven</t>
  </si>
  <si>
    <t>Interfaces: Studies in Visual Culture</t>
  </si>
  <si>
    <t>Faculty of Color in the Health Professions</t>
  </si>
  <si>
    <t>Stories of Survival and Success</t>
  </si>
  <si>
    <t>MEDICAL / Education &amp; Training</t>
  </si>
  <si>
    <t>R727</t>
  </si>
  <si>
    <t>Medical colleges--United States--Faculty.,Minorities in medicine--United States.,Minority college teachers--United States.,Racism in medicine--United States.</t>
  </si>
  <si>
    <t>Hassouneh, Dena-Thomas, Charles R.</t>
  </si>
  <si>
    <t>The Life and Times of T. H. Gallaudet</t>
  </si>
  <si>
    <t>ForeEdge</t>
  </si>
  <si>
    <t>HV2426.G3 S29 2018</t>
  </si>
  <si>
    <t>Teachers of the deaf--United States--Biography.</t>
  </si>
  <si>
    <t>Sayers, Edna Edith</t>
  </si>
  <si>
    <t>Haifa</t>
  </si>
  <si>
    <t>City of Steps</t>
  </si>
  <si>
    <t>Brandeis</t>
  </si>
  <si>
    <t>NA1478.H35</t>
  </si>
  <si>
    <t>Architecture--Israel--Haifa.</t>
  </si>
  <si>
    <t>Gold, Nili Scharf</t>
  </si>
  <si>
    <t>Shallow Graves</t>
  </si>
  <si>
    <t>The Hunt for the New Bedford Highway Serial Killer</t>
  </si>
  <si>
    <t>TRUE CRIME / Murder / Serial Killers</t>
  </si>
  <si>
    <t>HV6534.N33</t>
  </si>
  <si>
    <t>Serial murder investigation--Massachussetts--New Bedford--Case studies.,Serial murderers--Massachussetts--New Bedford--Case studies.,Serial murders--Massachussetts--New Bedford--Case studies.</t>
  </si>
  <si>
    <t>Boyle, Maureen</t>
  </si>
  <si>
    <t xml:space="preserve">Emerald Labyrinth </t>
  </si>
  <si>
    <t>A Scientist's Adventures in the Jungles of the Congo</t>
  </si>
  <si>
    <t>NATURE / Ecosystems &amp; Habitats / Forests &amp; Rainforests</t>
  </si>
  <si>
    <t>QL337.C58</t>
  </si>
  <si>
    <t>Amphibians--Congo (Democratic Republic),Animal diversity--Research--Congo (Democratic Republic),Natural history--Congo (Democratic Republic),Reptiles--Congo (Democratic Republic)</t>
  </si>
  <si>
    <t>Greenbaum, Eli</t>
  </si>
  <si>
    <t>The Ice Bucket Challenge</t>
  </si>
  <si>
    <t>Pete Frates and the Fight against ALS</t>
  </si>
  <si>
    <t>BIOGRAPHY &amp; AUTOBIOGRAPHY / Sports</t>
  </si>
  <si>
    <t>RC406.A24 S54 2017eb</t>
  </si>
  <si>
    <t>Amyotrophic lateral sclerosis--Patients--United States--Biography.</t>
  </si>
  <si>
    <t>Sherman, Casey-Wedge, Dave</t>
  </si>
  <si>
    <t>Shortchanged</t>
  </si>
  <si>
    <t>Height Discrimination and Strategies for Social Change</t>
  </si>
  <si>
    <t>HM1091</t>
  </si>
  <si>
    <t>Physical-appearance-based bias--United States.,Short people--United States.</t>
  </si>
  <si>
    <t>Osensky, Tanya S.</t>
  </si>
  <si>
    <t>Tell</t>
  </si>
  <si>
    <t>Love, Defiance, and the Military Trial at the Tipping Point for Gay Rights</t>
  </si>
  <si>
    <t>POLITICAL SCIENCE / Civil Rights</t>
  </si>
  <si>
    <t>KF229.W58</t>
  </si>
  <si>
    <t>Gay military personnel--Government policy--United States.,Gay military personnel--Legal status, laws, etc.--United States.,Gay rights--United States.,Military discharge--United States.,Trials (Military offenses)--United States.</t>
  </si>
  <si>
    <t>Witt, Margaret</t>
  </si>
  <si>
    <t>Albert Camus and Education</t>
  </si>
  <si>
    <t>L</t>
  </si>
  <si>
    <t>Absurd (Philosophy),Education--Philosophy.</t>
  </si>
  <si>
    <t>Hobson, Aidan.</t>
  </si>
  <si>
    <t>PRINCIPLES, PRACTICES, AND CREATIVE TENSIIONS IN PROGRESSIVE HIGHER EDUCATION</t>
  </si>
  <si>
    <t>One Institution's Struggle to Sustain a Vision</t>
  </si>
  <si>
    <t>Education, Higher--Aims and objectives.,Progressive education--United States.</t>
  </si>
  <si>
    <t>JELLY, KATHERINE.</t>
  </si>
  <si>
    <t>Democratic Evaluation and Democracy</t>
  </si>
  <si>
    <t>Exploring the Reality</t>
  </si>
  <si>
    <t>JQ1981</t>
  </si>
  <si>
    <t>Civil society--South Africa.,Democracy--South Africa.,Democratization--South Africa.,Performance standards--South Africa.,Public administration--South Africa--Evaluation.</t>
  </si>
  <si>
    <t>Podems, Donna</t>
  </si>
  <si>
    <t>Evaluation and Society</t>
  </si>
  <si>
    <t>Organizational Social Irresponsibility</t>
  </si>
  <si>
    <t>Tools and Theoretical Insights</t>
  </si>
  <si>
    <t>HD60</t>
  </si>
  <si>
    <t>Organizational behavior.,Organizational sociology.,Social responsibility of business.</t>
  </si>
  <si>
    <t>Stachowicz-Stanusch, Agata</t>
  </si>
  <si>
    <t>Contemporary Perspectives in Corporate Social Performance and Policy</t>
  </si>
  <si>
    <t>Hubungan politik dan sosiobudaya China - dunia Melayu hingga kurun ke-15 masihi</t>
  </si>
  <si>
    <t>Universiti Sains Malaysia Press</t>
  </si>
  <si>
    <t>Penerbit USM</t>
  </si>
  <si>
    <t>DS595.96.C6</t>
  </si>
  <si>
    <t>may</t>
  </si>
  <si>
    <t>Nazarudin Zainun-Khaw, Nasha Rodziadi</t>
  </si>
  <si>
    <t>Fanning, Ronan-Royal Irish Academy.-National Archives of Ireland.-Kennedy, Michael-Ireland.-Keogh, Dermot-O'Halpin, Eunan</t>
  </si>
  <si>
    <t>Dark Rooms</t>
  </si>
  <si>
    <t>RaÌˆume der Un/Sichtbarkeit</t>
  </si>
  <si>
    <t>ART / Performance</t>
  </si>
  <si>
    <t>N72.S6 D37 2017eb</t>
  </si>
  <si>
    <t>Art and society--Congresses.,Visual communication--Congresses.</t>
  </si>
  <si>
    <t>Kesting, Marietta-Kunze, Sophia</t>
  </si>
  <si>
    <t>Expressionistinnen</t>
  </si>
  <si>
    <t>ND1482.E9</t>
  </si>
  <si>
    <t>Expressionism (Art),Expressionism.</t>
  </si>
  <si>
    <t>Eichhorn, Kristin-Lorenzen, Johannes S.</t>
  </si>
  <si>
    <t>Expressionismus</t>
  </si>
  <si>
    <t>8. Mai 1945</t>
  </si>
  <si>
    <t>internationale und interdisziplinaÌˆre Perspektiven</t>
  </si>
  <si>
    <t>D830 .A18 2016eb</t>
  </si>
  <si>
    <t>V-E Day, 1945.,World War, 1939-1945--Monuments.,World War, 1939-1945--Peace.</t>
  </si>
  <si>
    <t>Klei, Alexandra-Stoll, Katrin-Wienert, Annika</t>
  </si>
  <si>
    <t>UÌˆbertragung im Theater</t>
  </si>
  <si>
    <t>Theorie und Praxis theatraler Wirkung</t>
  </si>
  <si>
    <t>PN2071.P78 H65 2016eb</t>
  </si>
  <si>
    <t>Acting--Psychological aspects.,Theater--Performance--Technique.</t>
  </si>
  <si>
    <t>Holling, Eva</t>
  </si>
  <si>
    <t>Ambivalenzraum UniversitaÌˆt</t>
  </si>
  <si>
    <t>LB2322.2 .A53 2016</t>
  </si>
  <si>
    <t>Education, Higher.,Universities and colleges.</t>
  </si>
  <si>
    <t>Lind, Gerald-Pany, Doris</t>
  </si>
  <si>
    <t>Relationen</t>
  </si>
  <si>
    <t>Religion</t>
  </si>
  <si>
    <t>ART / Reference</t>
  </si>
  <si>
    <t>BH301.E9 .R455 2016</t>
  </si>
  <si>
    <t>Expressionism (Art)--Themes, motives.,Expressionism.,Religion in art.</t>
  </si>
  <si>
    <t>Tiere und Unterhaltung</t>
  </si>
  <si>
    <t>GV1829</t>
  </si>
  <si>
    <t>Animal training.,Animal welfare.,Circus animals.</t>
  </si>
  <si>
    <t>Steinbrecher, Aline-Ullrich, Jessica</t>
  </si>
  <si>
    <t>Tierstudien</t>
  </si>
  <si>
    <t>Race &amp; sex</t>
  </si>
  <si>
    <t>eine Geschichte der Neuzeit : 49 SchluÌˆsseltexte aus vier Jahrhunderten neu gelesen</t>
  </si>
  <si>
    <t>CB195 .R33 2016eb</t>
  </si>
  <si>
    <t>Civilization, Modern.,Race relations--History.,Race--History.,Racism--History.,Sex--History.</t>
  </si>
  <si>
    <t>Stieglitz, Olaf.-Martschukat, JuÌˆrgen.</t>
  </si>
  <si>
    <t>Hunger</t>
  </si>
  <si>
    <t>QP141</t>
  </si>
  <si>
    <t>Anorexia.,Hunger in art.,Hunger.,Hunger--Social aspects.</t>
  </si>
  <si>
    <t>Holling, Eva-Naumann, Matthias-Schloeffel, Frank</t>
  </si>
  <si>
    <t>Nebulosa Figuren des Sozialen</t>
  </si>
  <si>
    <t>Dramaturgien des Anfangens</t>
  </si>
  <si>
    <t>SPORTS &amp; RECREATION / General</t>
  </si>
  <si>
    <t>PN1664 .D73 2016eb</t>
  </si>
  <si>
    <t>Beginning.,Drama--Stories, plots, etc.,Drama--Technique.,Motion pictures--Plots, themes, etc.,Theater--Production and direction.</t>
  </si>
  <si>
    <t>Czirak, Adam.-Egert, Gerko.</t>
  </si>
  <si>
    <t>Deutsche und zentraleuropaÌˆische Juden in PalaÌˆstina und Israel</t>
  </si>
  <si>
    <t>Kulturtransfers, Lebenswelten, IdentitaÌˆten - Beispiele aus Haifa</t>
  </si>
  <si>
    <t>RELIGION / Comparative Religion</t>
  </si>
  <si>
    <t>DS113.8.G4 D48 2016eb</t>
  </si>
  <si>
    <t>Jews, German--Palestine--Biography.,Jews, German--Palestine--History--20th century.,Jews, German--Palestine--Social life and customs.</t>
  </si>
  <si>
    <t>Siegemund, Anja</t>
  </si>
  <si>
    <t>JuÌˆdische Kulturgeschichte in der Moderne</t>
  </si>
  <si>
    <t>Krieg</t>
  </si>
  <si>
    <t>PT619 .K754 2016eb</t>
  </si>
  <si>
    <t>German drama--History and criticism--Congresses.,War in literature--Congresses.</t>
  </si>
  <si>
    <t>Naumann, Matthias-Thamer, Florian.</t>
  </si>
  <si>
    <t>MuÌˆlheimer FatzerbuÌˆcher</t>
  </si>
  <si>
    <t>Menschen mit fremden Wurzeln in hybriden Stadtlandschaften</t>
  </si>
  <si>
    <t>Versuch uÌˆber IdentitaÌˆt und UrbanitaÌˆt im Postfordismus</t>
  </si>
  <si>
    <t>HT241 .T47 2016eb</t>
  </si>
  <si>
    <t>City planning--Environmental aspects.,Identity (Philosophical concept),Social constructionism.,Urban ecology (Sociology)</t>
  </si>
  <si>
    <t>Termeer, Marcus.</t>
  </si>
  <si>
    <t>Minimale MaÌˆnnlichkeit</t>
  </si>
  <si>
    <t>Figurationen und Refigurationen des Anzugs</t>
  </si>
  <si>
    <t>HISTORY / Reference</t>
  </si>
  <si>
    <t>GT2079 .W45x 2016eb</t>
  </si>
  <si>
    <t>Suits (Clothing)--History.</t>
  </si>
  <si>
    <t>Weinelt, Nora.</t>
  </si>
  <si>
    <t>Relationen - Essays zur Gegenwart</t>
  </si>
  <si>
    <t>Durch Blicke im Bild</t>
  </si>
  <si>
    <t>Stereoskopie im 19. und fruÌˆhen 20. Jahrhundert</t>
  </si>
  <si>
    <t>TR780 .L465 2016eb</t>
  </si>
  <si>
    <t>Photography, Stereoscopic--History--19th century.,Photography, Stereoscopic--History--20th century.</t>
  </si>
  <si>
    <t>Leonhardt, Nic</t>
  </si>
  <si>
    <t>Zwischen allen BuÌˆhnen</t>
  </si>
  <si>
    <t>die Jeckes und das hebraÌˆische Theater 1933-1948</t>
  </si>
  <si>
    <t>PN2919.4 .L4815 2016eb</t>
  </si>
  <si>
    <t>Culture conflict--Palestine.,Jewish theater--Palestine.,Jews, East European--Palestine.,Jews, German--Palestine.</t>
  </si>
  <si>
    <t>Lewy, Tom</t>
  </si>
  <si>
    <t>Und nach dem Holocaust?</t>
  </si>
  <si>
    <t>juÌˆdische Spielfilmfiguren im (west-)deutschen Film und Fernsehen nach 1945</t>
  </si>
  <si>
    <t>PN1995.9.J46 H388 2016eb</t>
  </si>
  <si>
    <t>Holocaust, Jewish (1939-1945)--Influence.,Holocaust, Jewish (1939-1945)--Public opinion.,Jews in motion pictures.,Jews in popular culture--Germany.,Jews on television.,Television programs--Social aspects--Germany.</t>
  </si>
  <si>
    <t>Haselberg, Lea Wohl von</t>
  </si>
  <si>
    <t>The Complete Guide to Building and Growing a Talent Development Firm</t>
  </si>
  <si>
    <t>HD62.5</t>
  </si>
  <si>
    <t>Consulting firms--Management.,Employees--Recruiting.,New business enterprises--Management.</t>
  </si>
  <si>
    <t>Cohen, Stephen L.-Association for Talent Development</t>
  </si>
  <si>
    <t>Venustiano Carranza (1914-1916). El proceso revolucionario en MÃ©xico ante la disoluciÃ³n de las instituciones</t>
  </si>
  <si>
    <t>Plana, Manuel</t>
  </si>
  <si>
    <t xml:space="preserve">Diagnostische Kompetenz von LehrkrÃ¤ften </t>
  </si>
  <si>
    <t>Theoretische und methodische Weiterentwicklungen</t>
  </si>
  <si>
    <t>LC1031</t>
  </si>
  <si>
    <t>Competency-based education.</t>
  </si>
  <si>
    <t>ANNA SUDKAMP-ANNA-KATHARINA PRAETORIUS.</t>
  </si>
  <si>
    <t>PÃ¤dagogische Psychologie und Entwicklungspsychologie</t>
  </si>
  <si>
    <t>Bedingungen gelingender Lern- und Bildungsprozesse</t>
  </si>
  <si>
    <t>Aktuelle Befunde und Perspektiven fÃ¼r die Empirische Bildungsforschung</t>
  </si>
  <si>
    <t>LB1028</t>
  </si>
  <si>
    <t>Education--Research.</t>
  </si>
  <si>
    <t>McElvany, Nele-Bos, Wilfried-Holtappels, Heinz GuÌˆnter-Hasselhorn, Johannes-Ohle, Annika</t>
  </si>
  <si>
    <t>Dortmunder Symposium der Empirischen Bildungsforschung</t>
  </si>
  <si>
    <t>Travel, Agency, and the Circulation of Knowledge</t>
  </si>
  <si>
    <t>PN56.T7</t>
  </si>
  <si>
    <t>Travel in literature.</t>
  </si>
  <si>
    <t>GESA MACKENTHUN-ANDREA NICOLAS-STEPHANIE WODIANK.</t>
  </si>
  <si>
    <t>Cultural Encounters and the Discourses of Scholarship</t>
  </si>
  <si>
    <t>Ankommen in der Schule</t>
  </si>
  <si>
    <t>Chancen und Herausforderungen bei der Integration von Kindern und Jugendlichen mit Fluchterfahrung</t>
  </si>
  <si>
    <t>LC3736.G3 A54 2017</t>
  </si>
  <si>
    <t>German language--Study and teaching--Foreign speakers.,Refugee children--Education--Germany.,School integration--Germany.,Teenage refugees--Education--Germany.</t>
  </si>
  <si>
    <t>NELE MCELVANY-ANJA JUNGERMANN-WILFRIED BOS-HEIN.</t>
  </si>
  <si>
    <t>IFS-Bildungsdialoge</t>
  </si>
  <si>
    <t>Community Music</t>
  </si>
  <si>
    <t>BeitrÃ¤ge zur Theorie und Praxis aus internationaler und deutscher Perspektive</t>
  </si>
  <si>
    <t>MT87</t>
  </si>
  <si>
    <t>Communism and music--Germany--Munich.,Community music--Germany--Munich--History and criticism.,Community music--History and criticism.,Music in education--Germany--Munich.</t>
  </si>
  <si>
    <t>Hill, Burkhard.-Banffy-Hall, Alicia de.</t>
  </si>
  <si>
    <t>Referenzsysteme zur UnterstÃ¼tzung von Schulentwicklung</t>
  </si>
  <si>
    <t>LB2822.8</t>
  </si>
  <si>
    <t>School improvement programs.,School management and organization.</t>
  </si>
  <si>
    <t>Peter Dobbelstein-Bernd Groot-Wilken-Saskia Koltermann</t>
  </si>
  <si>
    <t>BeitraÌˆge zur Schulentwicklung</t>
  </si>
  <si>
    <t>Aufbruch zu neuen Ufern</t>
  </si>
  <si>
    <t>Aufgaben, Problemlagen und Profile einer Islamischen ReligionspÃ¤dagogik im europÃ¤ischen Kontext</t>
  </si>
  <si>
    <t>REFERENCE / Atlases, Gazetteers &amp; Maps</t>
  </si>
  <si>
    <t>LC912.G3</t>
  </si>
  <si>
    <t>Islamic religious education--Europe.,Islamic religious education--Germany.</t>
  </si>
  <si>
    <t>SarÄ±kaya, YasÌ§ar-BaÌˆumer, Franz-Josef</t>
  </si>
  <si>
    <t>Studien zur islamischen Theologie und ReligionspaÌˆdagogik</t>
  </si>
  <si>
    <t>Wissen und Lernen</t>
  </si>
  <si>
    <t>Wie epistemische Ãœberzeugungen Schule, UniversitÃ¤t und Arbeitswelt beeinflussen</t>
  </si>
  <si>
    <t>LB14.7</t>
  </si>
  <si>
    <t>Comprehension (Theory of knowledge),Education.,Epistemics.</t>
  </si>
  <si>
    <t>Bernholt, Andrea-Gruber, Hans-Moschyner, Barbara</t>
  </si>
  <si>
    <t>Sport fÃ¼r alle</t>
  </si>
  <si>
    <t>Idee und Wirklichkeit</t>
  </si>
  <si>
    <t>SPORTS &amp; RECREATION / Reference</t>
  </si>
  <si>
    <t>GV705</t>
  </si>
  <si>
    <t>Football.,Leisure.,Recreation.,Special Olympics.,Sports.,Tennis.</t>
  </si>
  <si>
    <t>JuÌˆtting, Dieter H.-KruÌˆger, Michael</t>
  </si>
  <si>
    <t>Edition Global-lokale Sportkultur</t>
  </si>
  <si>
    <t>Information Fusion and Analytics for Big Data and IoT</t>
  </si>
  <si>
    <t>Bosse, Eloi-Solaiman, Basel</t>
  </si>
  <si>
    <t>Listen. If</t>
  </si>
  <si>
    <t>POETRY / Canadian</t>
  </si>
  <si>
    <t>PR9199.3.B37 L57 2017</t>
  </si>
  <si>
    <t>Canadian poetry.</t>
  </si>
  <si>
    <t>Barbour, Douglas</t>
  </si>
  <si>
    <t>A Volume in the Robert Kroetsch Series</t>
  </si>
  <si>
    <t>The Akron Story Circle Project</t>
  </si>
  <si>
    <t>Rethinking Race in Classroom and Community</t>
  </si>
  <si>
    <t>University Of Akron Press</t>
  </si>
  <si>
    <t>E184.A1 B347 2017</t>
  </si>
  <si>
    <t>Storytelling--Ohio--Akron.,Storytelling--Political aspects--United States.,Storytelling--Social aspects--United States.</t>
  </si>
  <si>
    <t>Behrman, Carolyn-Lyons, William-Hill, Patricia-Slowiak, James-Webb, Donna-Dreussi, Amy Shriver</t>
  </si>
  <si>
    <t>Pivotal Constructions in Chinese</t>
  </si>
  <si>
    <t>Diachronic, Synchronic, and Constructional Perspectives</t>
  </si>
  <si>
    <t>PL1250.G73</t>
  </si>
  <si>
    <t>Chinese language--Grammaticalization.</t>
  </si>
  <si>
    <t>Peng, Rui</t>
  </si>
  <si>
    <t>Studies in Chinese Language and Discourse</t>
  </si>
  <si>
    <t>Crowdsourcing and Online Collaborative Translations</t>
  </si>
  <si>
    <t>Expanding the Limits of Translation Studies</t>
  </si>
  <si>
    <t>P306.97.T73</t>
  </si>
  <si>
    <t>Communication and technology.,Intercultural communication.,Internet.,Translating and interpreting--Study and teaching--Technological innovations.,Translating and interpreting--Technological innnovations.</t>
  </si>
  <si>
    <t>JimeÌnez-Crespo, Miguel A.</t>
  </si>
  <si>
    <t>Epistemic Stance in Dialogue</t>
  </si>
  <si>
    <t>Knowing, Unknowing, Believing</t>
  </si>
  <si>
    <t>P40.5.D53</t>
  </si>
  <si>
    <t>Conversation analysis.,Dialogue analysis.,Knowledge.,Sociolinguistics.</t>
  </si>
  <si>
    <t>Zuczkowski, Andrzej-Bongelli, Ramona-Riccioni, Ilaria</t>
  </si>
  <si>
    <t>Dialogue Studies</t>
  </si>
  <si>
    <t>World Employment and Social Outlook</t>
  </si>
  <si>
    <t>International Labour Organization</t>
  </si>
  <si>
    <t>ILO</t>
  </si>
  <si>
    <t>Perspectivas sociales y del empleo en el mundo 2016</t>
  </si>
  <si>
    <t>Emploi et questions sociales dans le monde 2016</t>
  </si>
  <si>
    <t>Les femmes au travail</t>
  </si>
  <si>
    <t>tendances 2016</t>
  </si>
  <si>
    <t>HD6053</t>
  </si>
  <si>
    <t>Sex discrimination--Employment.,Women--Employment--21st century.</t>
  </si>
  <si>
    <t>Las mujeres en el trabajo</t>
  </si>
  <si>
    <t>Toma y Daca</t>
  </si>
  <si>
    <t>TransculturaciÃ³n Y Presencia de Escritores Chino-Latinoamericanos</t>
  </si>
  <si>
    <t>PQ7081.7.C45Y46 2016</t>
  </si>
  <si>
    <t>Chinese in literature.,Chinese--Latin America.,Latin American literature--Chinese authors--History and criticism.</t>
  </si>
  <si>
    <t>Yen, Huei Lan</t>
  </si>
  <si>
    <t>El intelectual y la cultura de masas</t>
  </si>
  <si>
    <t>Argumentos Latinoamericanos En Torno a Ãngel Rama Y JosÃ© MarÃ­a Arguedas</t>
  </si>
  <si>
    <t>POLITICAL SCIENCE / Public Policy / Cultural Policy</t>
  </si>
  <si>
    <t>F2237 .G37 2017</t>
  </si>
  <si>
    <t>Communication--Technological innovations--South America--History--20th century.,Indians of South America--Andes Region--Social conditions--20th century.,Popular culture--Andes Region--History--20th century.,Popular culture--South America--History--20th century.,Printing--Social aspects--South America--History--20th century.,Social change--Andes Region--History--20th century.,Social change--South America--History--20th century.</t>
  </si>
  <si>
    <t>GarciÌa Liendo, Javier</t>
  </si>
  <si>
    <t>Conflicto, resistencia y negociacioÌn en la historia</t>
  </si>
  <si>
    <t>HM1126</t>
  </si>
  <si>
    <t>Conflict management.,Mediation.</t>
  </si>
  <si>
    <t>Aizpuru, Pilar Gonzalbo-Celis, Leticia Mayer</t>
  </si>
  <si>
    <t>Stadt und Land Siegen in Geschichte und Gegenwart</t>
  </si>
  <si>
    <t>Analysen â€“ Archivalien â€“ Perspektiven fÃ¼r Politik und Wirtschaft</t>
  </si>
  <si>
    <t>JC330.3</t>
  </si>
  <si>
    <t>Economic development--Germany--Siegen--History--20th century--Sources.</t>
  </si>
  <si>
    <t>Bellers, J?urgen.-Porsche-Ludwig, Markus.</t>
  </si>
  <si>
    <t>ã‚¹ãƒˆãƒ©ãƒ³ã‚°:è¨ˆç®—ç†å·¥å­¦</t>
  </si>
  <si>
    <t>TA330 .S73163 2017eb</t>
  </si>
  <si>
    <t>Engineering mathematics.,Numerical analysis.,Science--Mathematics.</t>
  </si>
  <si>
    <t>Strang, Gilbert-ä»Šäº•æ¡‚å­-æ—¥æœ¬å¿œç”¨æ•°ç†å­¦ä¼š.-å²¡æœ¬ä¹…</t>
  </si>
  <si>
    <t>ä¸–ç•Œæ¨™æº–MITæ•™ç§‘æ›¸</t>
  </si>
  <si>
    <t>æ°—å€™å¤‰å‹•ä¸‹ã®æ°´ãƒ»åœŸç ‚ç½å®³é©å¿œç­–</t>
  </si>
  <si>
    <t>ç¤¾ä¼šå®Ÿè£…ã«å‘ã‘ã¦</t>
  </si>
  <si>
    <t>HV551.5.J3</t>
  </si>
  <si>
    <t>Emergency management--Japan.,Flood control--Japan.,Landslides--Japan--Prevention.</t>
  </si>
  <si>
    <t>æ± ç”°é§¿ä»‹-å›½åœŸæ–‡åŒ–ç ”ç©¶æ‰€.-å°æ¾åˆ©å…‰-é¦¬å ´å¥å¸-æœ›æœˆå¸¸å¥½</t>
  </si>
  <si>
    <t>ä¸‡èƒ½ã‚³ãƒ³ãƒ”ãƒ¥ãƒ¼ã‚¿</t>
  </si>
  <si>
    <t>ãƒ©ã‚¤ãƒ—ãƒ‹ãƒƒãƒ„ã‹ã‚‰ãƒãƒ¥ãƒ¼ãƒªãƒ³ã‚°ã¸ã®é“ã™ã˜</t>
  </si>
  <si>
    <t>QA76.17 .D38163 2016eb</t>
  </si>
  <si>
    <t>Electronic digital computers--History.</t>
  </si>
  <si>
    <t>Davis, Martin-æ²¼ç”°å¯¬</t>
  </si>
  <si>
    <t>ã€Œä¼ã‚ã‚‹æ—¥æœ¬èªžã€ç·´ç¿’å¸³</t>
  </si>
  <si>
    <t>FOREIGN LANGUAGE STUDY / Japanese</t>
  </si>
  <si>
    <t>PL647</t>
  </si>
  <si>
    <t>Japanese language--Composition and exercises.,Report writing--Problems, exercises, etc.</t>
  </si>
  <si>
    <t>é˜¿éƒ¨åœ­ä¸€-å¯Œæ°¸æ•¦å­</t>
  </si>
  <si>
    <t>ã‚¢ãƒ³ã‚µãƒ³ãƒ–ãƒ«æ©Ÿæ¢°å­¦ç¿’</t>
  </si>
  <si>
    <t>è¶…å®Ÿè·µ = Ensemble machine learning</t>
  </si>
  <si>
    <t>Q325.5</t>
  </si>
  <si>
    <t>Big data.,Machine learning.,Regression analysis.</t>
  </si>
  <si>
    <t>Diritto tributario telematico</t>
  </si>
  <si>
    <t>KKH3558 .M668 2017eb</t>
  </si>
  <si>
    <t>Taxation--Law and legislation--Italy.</t>
  </si>
  <si>
    <t>Montalcini, Fabio-Sacchetto, Camillo</t>
  </si>
  <si>
    <t>La vittima del processo</t>
  </si>
  <si>
    <t>i danni da attivitaÌ€ processuale penale</t>
  </si>
  <si>
    <t>KKH4610</t>
  </si>
  <si>
    <t>Criminal procedure--Italy.</t>
  </si>
  <si>
    <t>Spangher, Giorgio</t>
  </si>
  <si>
    <t>Enti e responsabilitaÌ€ da reato</t>
  </si>
  <si>
    <t>Commento al D.Lgs. 8 giugno 2001, n. 231</t>
  </si>
  <si>
    <t>KKH1153</t>
  </si>
  <si>
    <t>Corporate governance--Law and legislation--Italy.,Corporation law--Italy--Criminal provisions.,Liability (Law)--Italy.</t>
  </si>
  <si>
    <t>Lasco, Giuseppe.-Loria, Velia.-Morgante, Mariavittoria.</t>
  </si>
  <si>
    <t>I principi di corretta gestione societaria e imprenditoriale nella prospettiva della tutela dei creditori</t>
  </si>
  <si>
    <t>KKH955</t>
  </si>
  <si>
    <t>Credit--Law and legislation--Italy.,Debtor and creditor--Italy.</t>
  </si>
  <si>
    <t>Nieddu Arrica, Fabio</t>
  </si>
  <si>
    <t>Studi di diritto dell'impresa</t>
  </si>
  <si>
    <t>Turismo</t>
  </si>
  <si>
    <t>Teoria economica e applicazioni</t>
  </si>
  <si>
    <t>G155.A1</t>
  </si>
  <si>
    <t>Tourism.</t>
  </si>
  <si>
    <t>FAVRO PARIS, MARIA MADDALENA</t>
  </si>
  <si>
    <t>Il riflesso del tempo</t>
  </si>
  <si>
    <t>strategie della memoria nei contesti di conflitto e di pace</t>
  </si>
  <si>
    <t>PSYCHOLOGY / Social Psychology</t>
  </si>
  <si>
    <t>KZ1250 .B855 2016eb</t>
  </si>
  <si>
    <t>Collective memory.,Memory--Social aspects.</t>
  </si>
  <si>
    <t>Ligi, Gianluca.-Natali, Cristiana.-Jourdan, Luca.-Bulian, Giovanni</t>
  </si>
  <si>
    <t>Quaderni / "Fondazione Venezia per la ricerca sulla pace"</t>
  </si>
  <si>
    <t>Contratto di lavoro pubblico, potere organizzativo e valutazione</t>
  </si>
  <si>
    <t>KKH1270 .M663 2016eb</t>
  </si>
  <si>
    <t>Labor laws and legislation--Italy.,Public contracts--Italy.</t>
  </si>
  <si>
    <t>Monda, Pasquale.</t>
  </si>
  <si>
    <t>Diritto del lavoro</t>
  </si>
  <si>
    <t>Al di laÌ€ del nesso autoritaÌ€/libertaÌ€</t>
  </si>
  <si>
    <t>tra legge e amministrazione : atti del convegno Salerno, 14-15 novembre 2014</t>
  </si>
  <si>
    <t>LAW / Constitutional</t>
  </si>
  <si>
    <t>Administrative law--Italy.</t>
  </si>
  <si>
    <t>PERONGINI, SERGIO</t>
  </si>
  <si>
    <t>Studi per un nuovo diritto amministrativo. Nuova serie</t>
  </si>
  <si>
    <t>UrbanizaciÃ³n y polÃ­tica urbana en IberoamÃ©rica. Experiencias, anÃ¡lisis y reflexiones</t>
  </si>
  <si>
    <t>Negrete, MarÃ­a Eugenia</t>
  </si>
  <si>
    <t>SIRIA</t>
  </si>
  <si>
    <t>poder regional, legitimidad y politica exterior, 1996-2015;</t>
  </si>
  <si>
    <t>HISTORY / Asia / General</t>
  </si>
  <si>
    <t>DS95.5 .T39 2016eb</t>
  </si>
  <si>
    <t>Geopolitics--Syria.</t>
  </si>
  <si>
    <t>TAWIL KURI, MARTA.</t>
  </si>
  <si>
    <t>UNA INTRODUCCION A LA ADMINISTRACION PUBLICA</t>
  </si>
  <si>
    <t>POLITICAL SCIENCE / American Government / Executive Branch</t>
  </si>
  <si>
    <t>JF1355 .P37 2016eb</t>
  </si>
  <si>
    <t>Bureaucracy.,Globalization--Political aspects.,Public administration.</t>
  </si>
  <si>
    <t>Pardo, MariÌa del Carmen.</t>
  </si>
  <si>
    <t>REALIDADES Y FALACIAS EN TORNO AL ABORTO. SALUD Y DERECHOS HUMANOS</t>
  </si>
  <si>
    <t>HQ767 .L46 2016eb</t>
  </si>
  <si>
    <t>Abortion.,Abortion--Mexico.</t>
  </si>
  <si>
    <t>LERNER, SUSANA-GUILLAUME, AGNES-MELGAR, LUCIA.</t>
  </si>
  <si>
    <t>Law in Popular Belief</t>
  </si>
  <si>
    <t>Myth and Reality</t>
  </si>
  <si>
    <t>LAW / General</t>
  </si>
  <si>
    <t>K2100</t>
  </si>
  <si>
    <t>Criminal justice, Administration of.,Justice, Administration of.,Law--Public opinion.,Law--Social aspects.,Social media.,Sociological jurisprudence.</t>
  </si>
  <si>
    <t>Amatrudo, Anthony-Rauxloh, Regina</t>
  </si>
  <si>
    <t>The Factory in a Garden</t>
  </si>
  <si>
    <t>A History of Corporate Landscapes From the Industrial to the Digital Age</t>
  </si>
  <si>
    <t>ARCHITECTURE / Landscape</t>
  </si>
  <si>
    <t>SB469 SB479</t>
  </si>
  <si>
    <t>Factories--Design and construction.,Industrial welfare.,Landscape gardening.</t>
  </si>
  <si>
    <t>Chance, Helena</t>
  </si>
  <si>
    <t>Studies in Design and Material Culture</t>
  </si>
  <si>
    <t>The Burley Manuscript</t>
  </si>
  <si>
    <t>HISTORY / Europe / Renaissance</t>
  </si>
  <si>
    <t>PR1127 .B87 2017eb</t>
  </si>
  <si>
    <t>English literature--Manuscripts--Early modern, 1500-1700.,English literature--Manuscripts--Early modern, 1500-1700--History and criticism.,Renaissance--England.</t>
  </si>
  <si>
    <t>Redford, Peter</t>
  </si>
  <si>
    <t>The Manchester Spenser</t>
  </si>
  <si>
    <t>Tar Wars</t>
  </si>
  <si>
    <t>Oil, Environment and Alberta's Image</t>
  </si>
  <si>
    <t>ART / Film &amp; Video</t>
  </si>
  <si>
    <t>HD9574.C23</t>
  </si>
  <si>
    <t>Oil sands industry--Alberta.,Oil sands industry--Alberta--Public opinion.,Oil sands industry--Environmental aspects--Alberta.,Oil sands industry--Social aspects--Alberta.</t>
  </si>
  <si>
    <t>Takach, Geo</t>
  </si>
  <si>
    <t>The Asian Trade Revolution</t>
  </si>
  <si>
    <t>The East India Companies and the Decline of the Caravan Trade</t>
  </si>
  <si>
    <t>University of Chicago Press</t>
  </si>
  <si>
    <t>HF495</t>
  </si>
  <si>
    <t>Commerce--History.</t>
  </si>
  <si>
    <t>Steensgaard, Niels-KÃ¸benhavns universitet.</t>
  </si>
  <si>
    <t>Reinvention of Australasian Biogeography</t>
  </si>
  <si>
    <t>Reform, Revolt and Rebellion</t>
  </si>
  <si>
    <t>SCIENCE / Microscopes &amp; Microscopy</t>
  </si>
  <si>
    <t>QH84.3 .E23 2017</t>
  </si>
  <si>
    <t>Biogeography--Australasia.,Evolution (Biology)--Australasia.</t>
  </si>
  <si>
    <t>Ebach, Malte C.</t>
  </si>
  <si>
    <t>Espacios de ocio y recreaciÃ³n para la construcciÃ³n de ciudadanÃ­a</t>
  </si>
  <si>
    <t>Lema, Ricardo-Monteagudo, MarÃ­a JesÃºs (eds.)</t>
  </si>
  <si>
    <t>Dublin in the 1950s and 1960s - Cars, Shops and Suburbs</t>
  </si>
  <si>
    <t>Four Courts Press</t>
  </si>
  <si>
    <t>DA995.D75 .B733 2017</t>
  </si>
  <si>
    <t>Brady, Joseph.</t>
  </si>
  <si>
    <t>Staging Women's Lives in Academia</t>
  </si>
  <si>
    <t>Gendered Life Stages in Language and Literature Workplaces</t>
  </si>
  <si>
    <t>LB2332.32 .S73 2017</t>
  </si>
  <si>
    <t>Women college graduates--Employment--United States.,Women college teachers--Professional relationships--United States.,Women college teachers--United States--Social conditions.,Women graduate students--United States--Social conditions.,Women in higher education--Social conditions.,Women--Education (Graduate)--United States.</t>
  </si>
  <si>
    <t>MasseÌ, Michelle A.-Maglin, Nan Bauer</t>
  </si>
  <si>
    <t>SUNY Series in Feminist Criticism and Theory</t>
  </si>
  <si>
    <t>Women, Work, and Economic Growth</t>
  </si>
  <si>
    <t>Leveling the Playing Field</t>
  </si>
  <si>
    <t>HD6053 .W654 2017</t>
  </si>
  <si>
    <t>Economic development.,Income distribution.,Women--Employment.</t>
  </si>
  <si>
    <t>Kochhar, Kalpana.-International Monetary Fund.-Jain-Chandra, Sonali-Newiak, Monique.</t>
  </si>
  <si>
    <t>Corporate Restructuring and Its Macro Effects</t>
  </si>
  <si>
    <t>Shin, Jongsoo</t>
  </si>
  <si>
    <t>People's Republic of China-Macao Special Administrative Region</t>
  </si>
  <si>
    <t>2016 Article IV Consultation-press Release; and Staff Report</t>
  </si>
  <si>
    <t>HD82</t>
  </si>
  <si>
    <t>Economic development.,International monetary fund--China--Macau.</t>
  </si>
  <si>
    <t>International Monetary Fund.</t>
  </si>
  <si>
    <t>IMF Country Report</t>
  </si>
  <si>
    <t>Currency Wars or Efficient Spillovers? A General Theory of International Policy Cooperation</t>
  </si>
  <si>
    <t>Korinek, Anto</t>
  </si>
  <si>
    <t>Financial Deepening in Mexico</t>
  </si>
  <si>
    <t>Herman, Alexander-Klemm, Alexander</t>
  </si>
  <si>
    <t>Banksâ€™ Adjustment to Basel III Reform</t>
  </si>
  <si>
    <t>Andrle, Michal-TomÅ¡Ã­k, VladimÃ­r-Vlcek, Ja</t>
  </si>
  <si>
    <t>Money and Credit</t>
  </si>
  <si>
    <t>Wang, Liang-Wright, Randall-Liu, Lucy Qia</t>
  </si>
  <si>
    <t>What Are Reference Rates For?</t>
  </si>
  <si>
    <t>Kirti, Divy</t>
  </si>
  <si>
    <t>Household Consumption in Japan â€“ Role of Income and Asset Developments</t>
  </si>
  <si>
    <t>VihriÃ¤lÃ¤, Erkk</t>
  </si>
  <si>
    <t>The Impact of Natural Resource Discoveries in Latin America and the Caribbean</t>
  </si>
  <si>
    <t>Toscani, Frederik</t>
  </si>
  <si>
    <t>Curbing Corporate Debt Bias</t>
  </si>
  <si>
    <t>Mooij, Ruud A. de-Hebous, Shafi</t>
  </si>
  <si>
    <t>Czech Magic</t>
  </si>
  <si>
    <t>Clinton, Kevin-HlÃ©dik, Tibor-Holub, TomÃ¡s-Laxton, Douglas-Wang, Ho</t>
  </si>
  <si>
    <t>Risk Taking and Interest Rates</t>
  </si>
  <si>
    <t>Lee, Seung Jung-Liu, Lucy Qian-Stebunovs, Viktor</t>
  </si>
  <si>
    <t>Oil Prices and the Global Economy</t>
  </si>
  <si>
    <t>Arezki, Rabah-Jakab, Zoltan-Laxton, Douglas-Matsumoto, Akito-Nurbekyan, Armen-Wang, Hou-Yao, Jiaxion</t>
  </si>
  <si>
    <t>Fiscal Politics in the Euro Area</t>
  </si>
  <si>
    <t>Eyraud, Luc-Gaspar, Vitor-Poghosyan, Tigra</t>
  </si>
  <si>
    <t>International Remittances, Migration, and Primary Commodities in FSGM</t>
  </si>
  <si>
    <t>Snudden, Stephe</t>
  </si>
  <si>
    <t>Body and Affect in the Intercultural Encounter</t>
  </si>
  <si>
    <t>DT650.B38 D48 2017</t>
  </si>
  <si>
    <t>Intercultural communication.</t>
  </si>
  <si>
    <t>Devisch, Rene.</t>
  </si>
  <si>
    <t>How to Be an Indian in the 21st Century</t>
  </si>
  <si>
    <t>Wisconsin Historical Society</t>
  </si>
  <si>
    <t>Wisconsin Historical Society Press</t>
  </si>
  <si>
    <t>PS3603</t>
  </si>
  <si>
    <t>Louis V. Clark (Two Shoes)</t>
  </si>
  <si>
    <t>Gerichtliches Mahnverfahren und Zwangsvollstreckung</t>
  </si>
  <si>
    <t>Verlag Dr. Otto Schmidt</t>
  </si>
  <si>
    <t>LAW / Civil Law</t>
  </si>
  <si>
    <t>Uwe Salten-Karsten GrÃ¤ve</t>
  </si>
  <si>
    <t>Im Stimmenwald</t>
  </si>
  <si>
    <t>Mein Leben in der Welt der Oper</t>
  </si>
  <si>
    <t>BÃ¶hlau Verlag</t>
  </si>
  <si>
    <t>MUSIC / Genres &amp; Styles / Opera</t>
  </si>
  <si>
    <t>Robert H. Pfanzl</t>
  </si>
  <si>
    <t>Hoch hinaus!</t>
  </si>
  <si>
    <t>Wege und HÃ¼tten in den Alpen</t>
  </si>
  <si>
    <t>Deutscher Alpenverein-Ã–sterreichischer Alpenverein-Alpenverein SÃ¼dtirol</t>
  </si>
  <si>
    <t>Create Your Own Employee Handbook</t>
  </si>
  <si>
    <t>A Legal &amp; Practical Guide for Employers</t>
  </si>
  <si>
    <t>Nolo</t>
  </si>
  <si>
    <t>NOLO</t>
  </si>
  <si>
    <t>HF5549.5.I53</t>
  </si>
  <si>
    <t>Employee orientation.,Employee rights.,Employee rules.,Employees--Training of.</t>
  </si>
  <si>
    <t>Guerin, Lisa-DelPo, Amy</t>
  </si>
  <si>
    <t>How to Form a Nonprofit Corporation in California</t>
  </si>
  <si>
    <t>BUSINESS &amp; ECONOMICS / Nonprofit Organizations &amp; Charities / General</t>
  </si>
  <si>
    <t>KFC342.Z9</t>
  </si>
  <si>
    <t>Incorporation--California--Popular works.,Nonprofit organizations--Law and legislation--California--Popular works.</t>
  </si>
  <si>
    <t>Mancuso, Anthony.</t>
  </si>
  <si>
    <t>Vom Zeichen zur Szene</t>
  </si>
  <si>
    <t>Der Diskurs der Bedeutungsproduktion in PrÃ¤senzgesellschaften</t>
  </si>
  <si>
    <t>Ralf Bohn</t>
  </si>
  <si>
    <t>Szenografie &amp; Szenologie</t>
  </si>
  <si>
    <t>Der Klang der Vernunft</t>
  </si>
  <si>
    <t>Eine Philosophie Neuer Musik</t>
  </si>
  <si>
    <t>PHILOSOPHY / Reference</t>
  </si>
  <si>
    <t>ML3845</t>
  </si>
  <si>
    <t>Music--Philosophy and aesthetics.</t>
  </si>
  <si>
    <t>Thun, ReneÌ.</t>
  </si>
  <si>
    <t>Blinde Flecken der Entwicklungszusammenarbeit</t>
  </si>
  <si>
    <t>Zur Kooperationspraxis lokaler Non-Profit-Organisationen in Bolivien</t>
  </si>
  <si>
    <t>Gabriele Beckmann</t>
  </si>
  <si>
    <t>Global Studies</t>
  </si>
  <si>
    <t>Doping als Konstruktion</t>
  </si>
  <si>
    <t>Eine Kulturgeschichte der Anti-Doping-Politik</t>
  </si>
  <si>
    <t>Marcel Reinold</t>
  </si>
  <si>
    <t>Histoire</t>
  </si>
  <si>
    <t>Autonomie und Menschenrechte am Lebensende</t>
  </si>
  <si>
    <t>Grundlagen, Erfahrungen, Reflexionen aus der Praxis</t>
  </si>
  <si>
    <t>Caroline Welsh-Christoph Ostgathe-Andreas Frewer-Heiner Bielefeldt</t>
  </si>
  <si>
    <t>Soziale Ordnung im Sportunterricht</t>
  </si>
  <si>
    <t>Eine Praxeographie</t>
  </si>
  <si>
    <t>Dennis Wolff</t>
  </si>
  <si>
    <t>Innovationen in der Nanomedizin</t>
  </si>
  <si>
    <t>Eine ethnografische Studie</t>
  </si>
  <si>
    <t>Wiebke Pohler SchÃ¤r</t>
  </si>
  <si>
    <t>Science Studies</t>
  </si>
  <si>
    <t>Bilder der Normalisierung</t>
  </si>
  <si>
    <t>Gesundheit, ErnÃ¤hrung und Haushalt in der visuellen Kultur Deutschlands 1945-1948</t>
  </si>
  <si>
    <t>Magdalena Saryusz-Wolska-Anna Labentz</t>
  </si>
  <si>
    <t>Performative Lyrik und lyrische Performance</t>
  </si>
  <si>
    <t>Profilbildung im deutschen Rap</t>
  </si>
  <si>
    <t>ML3531</t>
  </si>
  <si>
    <t>Performative (Philosophy),Rap (Music)--Germany--History and criticism.</t>
  </si>
  <si>
    <t>Johannes Gruber.</t>
  </si>
  <si>
    <t>Studien Zur Popularmusik</t>
  </si>
  <si>
    <t>Muster der Ambivalenz</t>
  </si>
  <si>
    <t>Subversive Praktiken in der Ã¤gyptischen Kunst der Gegenwart</t>
  </si>
  <si>
    <t>Judith Bihr</t>
  </si>
  <si>
    <t>Kleinstaaten und sekundÃ¤re Akteure im Kalten Krieg</t>
  </si>
  <si>
    <t>Politische, wirtschaftliche, militÃ¤rische und kulturelle Wechselbeziehungen zwischen Europa und Lateinamerika</t>
  </si>
  <si>
    <t>Albert Manke-Katerina BrezinovÃ¡</t>
  </si>
  <si>
    <t>Ã„sthetiken in Kindheit und Jugend</t>
  </si>
  <si>
    <t>Sozialisation im Spannungsfeld von KreativitÃ¤t, Konsum und Distinktion</t>
  </si>
  <si>
    <t>Sebastian Schinkel-Ina Herrmann</t>
  </si>
  <si>
    <t>Bildung der Arbeitsgesellschaft</t>
  </si>
  <si>
    <t>Intersektionelle Anmerkungen zur Vergesellschaftung durch Bildungsformate</t>
  </si>
  <si>
    <t>Anselm BÃ¶hmer</t>
  </si>
  <si>
    <t>PhÃ¤nomen HÃ¶rbuch</t>
  </si>
  <si>
    <t>InterdisziplinÃ¤re Perspektiven und medialer Wandel</t>
  </si>
  <si>
    <t>Stephanie Bung-Jenny SchrÃ¶dl</t>
  </si>
  <si>
    <t>Kritische KollektivitÃ¤t im Netz</t>
  </si>
  <si>
    <t>Anonymous, Facebook und die Kraft der Affizierung in der Kontrollgesellschaft</t>
  </si>
  <si>
    <t>Carolin Wiedemann</t>
  </si>
  <si>
    <t>Platz nehmen</t>
  </si>
  <si>
    <t>Zur Psychologie des Sitzens am Ort der Psychiatrie</t>
  </si>
  <si>
    <t>Lisa Landsteiner</t>
  </si>
  <si>
    <t>ErzÃ¤hlte Stadt - Der urbane Raum bei Janet Cardiff und Jeff Wall</t>
  </si>
  <si>
    <t>Birgit Szepanski</t>
  </si>
  <si>
    <t>Urban Studies</t>
  </si>
  <si>
    <t>WO DU DICH FINDEST, DA LASS DICH</t>
  </si>
  <si>
    <t>AnnÃ¤herungen an Meister Eckhart als Mystiker, BeitrÃ¤ge von der Jahrestagung des Gesellschaft der Freunde christlicher Mystik e. V.</t>
  </si>
  <si>
    <t>BV5095.E3</t>
  </si>
  <si>
    <t>Christianity--Philosophy.,Islamic philosophy--Influence.,Mysticism--Germany--History--Middle Ages, 600-1500.,Philosophy and religion.,Philosophy, Medieval.</t>
  </si>
  <si>
    <t>Sorace, Marco A.-Zimmerling, Peter</t>
  </si>
  <si>
    <t>A Focus on Consumer Behaviours and Experiences in an Online Shopping Environment</t>
  </si>
  <si>
    <t>Emerald Publishing</t>
  </si>
  <si>
    <t>Emerald Group Publishing Limited</t>
  </si>
  <si>
    <t>BUSINESS &amp; ECONOMICS / E-Commerce / Online Trading</t>
  </si>
  <si>
    <t>HF5548.32</t>
  </si>
  <si>
    <t>Consumer behavior.,Electronic commerce--Psychological aspects.</t>
  </si>
  <si>
    <t>Emerald Gems</t>
  </si>
  <si>
    <t>Barbara La Marr</t>
  </si>
  <si>
    <t>The Girl Who Was Too Beautiful for Hollywood</t>
  </si>
  <si>
    <t>University Press of Kentucky</t>
  </si>
  <si>
    <t>The University Press of Kentucky</t>
  </si>
  <si>
    <t>PN2287.L3 S69 2017</t>
  </si>
  <si>
    <t>Motion picture actors and actresses--United States--Biography.,Women screenwriters--United States--Biography.</t>
  </si>
  <si>
    <t>Snyder, Sherri</t>
  </si>
  <si>
    <t>Screen Classics</t>
  </si>
  <si>
    <t>You Ain't Heard Nothin' Yet</t>
  </si>
  <si>
    <t>Interviews with Stars From Hollywood's Golden Era</t>
  </si>
  <si>
    <t>PN1998.2 .Y67 2017</t>
  </si>
  <si>
    <t>Motion picture actors and actresses--United States--Interviews.,Motion pictures--United States--History--20th century.</t>
  </si>
  <si>
    <t>Miller, Ron-Project Muse.-Bawden, James</t>
  </si>
  <si>
    <t>James Still</t>
  </si>
  <si>
    <t>A Life</t>
  </si>
  <si>
    <t>PS3537.T5377 Z4664 2017</t>
  </si>
  <si>
    <t>Authors, American--20th century--Biography.</t>
  </si>
  <si>
    <t>Boggess, Carol</t>
  </si>
  <si>
    <t>The New and Collected Poems of Jane Gentry</t>
  </si>
  <si>
    <t>POETRY / American / General</t>
  </si>
  <si>
    <t>PS3557.E462 A6 2017</t>
  </si>
  <si>
    <t>American poetry--20th century.</t>
  </si>
  <si>
    <t>Gentry, Jane.-Johnson, Julia.</t>
  </si>
  <si>
    <t>Michael Curtiz</t>
  </si>
  <si>
    <t>A Life in Film</t>
  </si>
  <si>
    <t>PN1998.3.C87 R65 2017eb</t>
  </si>
  <si>
    <t>Motion picture producers and directors--United States--Biography.</t>
  </si>
  <si>
    <t>Rode, Alan K.</t>
  </si>
  <si>
    <t>Umsatzsteuer-Kongress-Bericht 2014</t>
  </si>
  <si>
    <t>Eigene Umsatzbesteuerung in AbhÃ¤ngigkeit von Verhalten und VerhÃ¤ltnissen des GeschÃ¤ftspartners</t>
  </si>
  <si>
    <t>LAW / Taxation</t>
  </si>
  <si>
    <t>Roland Ismer-Hans Nieskens</t>
  </si>
  <si>
    <t>Schriften zum Umsatzsteuerrecht</t>
  </si>
  <si>
    <t>Building Integrated Economies in West Africa</t>
  </si>
  <si>
    <t>Passivhaus-Bauteilkatalog: Sanierung</t>
  </si>
  <si>
    <t>Ã–kologisch bewertete Konstruktionen fÃ¼r den Sanierungseinsatz</t>
  </si>
  <si>
    <t>BirkhÃ¤user</t>
  </si>
  <si>
    <t>ARCHITECTURE / Sustainability &amp; Green Design</t>
  </si>
  <si>
    <t>Ã–sterreichisches Institut fÃ¼r Baubiologie und -Ã¶kologie</t>
  </si>
  <si>
    <t>Neue Holztragwerke</t>
  </si>
  <si>
    <t>Architektonische EntwÃ¼rfe und digitale Bemessung</t>
  </si>
  <si>
    <t>ARCHITECTURE / Methods &amp; Materials</t>
  </si>
  <si>
    <t>Yves Weinand</t>
  </si>
  <si>
    <t>Executive Dashboards to Win Over the C-suite</t>
  </si>
  <si>
    <t>HD30.213 A536 2017eb</t>
  </si>
  <si>
    <t>Dashboards (Management information systems)</t>
  </si>
  <si>
    <t>Anand, Preethi</t>
  </si>
  <si>
    <t>K hrÌŒiÌchu i k modlitbeÌŒ</t>
  </si>
  <si>
    <t>zÌŒena v devatenaÌcteÌho stoletiÌ</t>
  </si>
  <si>
    <t>HQ1610.3 .L46 2016</t>
  </si>
  <si>
    <t>Feminism--Czech Republic--History--19th century.,Women--Czech Republic--History--19th century.</t>
  </si>
  <si>
    <t>LenderovÃ¡, Milena</t>
  </si>
  <si>
    <t>TuberkuloÌza</t>
  </si>
  <si>
    <t>RC311</t>
  </si>
  <si>
    <t>Tuberculosis--Textbooks.</t>
  </si>
  <si>
    <t>Homolka, JiÅ™Ã­</t>
  </si>
  <si>
    <t>UcÌŒebniÌ texty Univerzity Karlovy</t>
  </si>
  <si>
    <t>VaÌlecÌŒneÌ deÌŒtstviÌ a mlaÌdiÌ (1939-1945) v literaturÌŒe a publicistice</t>
  </si>
  <si>
    <t>D810.C4</t>
  </si>
  <si>
    <t>Children and war--Czech Republic--History--20th century.,Nazi propaganda--Czechoslovakia.,Publishers and publishing--Czech Republic--History--20th century.,World War, 1939-1945--Children--Czechoslovakia.,World War, 1939-1945--Czechoslovakia.</t>
  </si>
  <si>
    <t>CÌŒenÌŒkovaÌ, Jana</t>
  </si>
  <si>
    <t>FacebookovaÌ (ne)zaÌvislost</t>
  </si>
  <si>
    <t>identita, interakce a uzÌŒivatelskaÌ karieÌra na Facebooku</t>
  </si>
  <si>
    <t>HM743.F33</t>
  </si>
  <si>
    <t>Identity (Psychology),Online social networks.,Social interaction.,Social media addiction.</t>
  </si>
  <si>
    <t>PospÃ­Å¡ilovÃ¡, Marie</t>
  </si>
  <si>
    <t>Poder y conflictividad social en AmeÌrica Latina</t>
  </si>
  <si>
    <t>HN110.5.Z9</t>
  </si>
  <si>
    <t>Social conflict--Latin America--History.</t>
  </si>
  <si>
    <t>Cienfuegos, Sigfrido VaÌzquez (ed.).</t>
  </si>
  <si>
    <t>Ibero-Americana Pragensia Supplementum</t>
  </si>
  <si>
    <t>Mensch und Gesellschaft zwischen Natur und Geschichte</t>
  </si>
  <si>
    <t>Zum VerhÃ¤ltnis von Philosophischer Anthropologie und Kritischer Theorie</t>
  </si>
  <si>
    <t>Thomas Ebke-Sebastian Edinger-Frank MÃ¼ller-Roman Yos</t>
  </si>
  <si>
    <t>Internationales Jahrbuch fÃ¼r Philosophische Anthropologie / International Yearbook for Philosophical Anthropology</t>
  </si>
  <si>
    <t>Bankrechtstag 2016</t>
  </si>
  <si>
    <t>LAW / Corporate</t>
  </si>
  <si>
    <t>Peter O. MÃ¼lbert</t>
  </si>
  <si>
    <t>Schriftenreihe der Bankrechtlichen Vereinigung</t>
  </si>
  <si>
    <t>Chefsache Mandantenakquisition</t>
  </si>
  <si>
    <t>Erfolgreiche Akquisestrategien fÃ¼r AnwÃ¤lte</t>
  </si>
  <si>
    <t>LAW / Law Office Management</t>
  </si>
  <si>
    <t>Johanna Busmann</t>
  </si>
  <si>
    <t>Angewandte Marketinganalyse</t>
  </si>
  <si>
    <t>Praxisbezogene Konzepte und Methoden zur betrieblichen EntscheidungsunterstÃ¼tzung</t>
  </si>
  <si>
    <t>BUSINESS &amp; ECONOMICS / Marketing / General</t>
  </si>
  <si>
    <t>Guido Grunwald-Bernd Hempelmann</t>
  </si>
  <si>
    <t>De Gruyter Studium</t>
  </si>
  <si>
    <t>Ernst Bloch: Das Prinzip Hoffnung</t>
  </si>
  <si>
    <t>Rainer E. Zimmermann</t>
  </si>
  <si>
    <t>Klassiker Auslegen</t>
  </si>
  <si>
    <t>Praxishandbuch IP-Strafrecht</t>
  </si>
  <si>
    <t>Helmut Brandau-Constantin Rehaag</t>
  </si>
  <si>
    <t>De Gruyter Praxishandbuch</t>
  </si>
  <si>
    <t>Gesellschaftsrecht in der Diskussion 2015</t>
  </si>
  <si>
    <t>LAW / Commercial / General</t>
  </si>
  <si>
    <t>der Gesellschaftsrechtlichen  Vereinigung</t>
  </si>
  <si>
    <t>Schriftenreihe der Gesellschaftsrechtlichen Vereinigung</t>
  </si>
  <si>
    <t>AuslÃ¤ndisches Privat- und Privatverfahrensrecht in deutscher Sprache</t>
  </si>
  <si>
    <t>Christian von Bar</t>
  </si>
  <si>
    <t>Mehrwertsteuergruppe nach Art. 11 MwStSystRL</t>
  </si>
  <si>
    <t>Entwicklung einer Gruppenbesteuerung in Deutschland</t>
  </si>
  <si>
    <t>Daniela Endres</t>
  </si>
  <si>
    <t>Palais BatthyÃ¡ny-Strattmann, Palais Trauttmansdorff</t>
  </si>
  <si>
    <t>Zwei Wiener Palais â€“ Geschichte und Gegenwart / Two Viennese Palaces â€“ Past and Present</t>
  </si>
  <si>
    <t>ARCHITECTURE / Individual Architects &amp; Firms / General</t>
  </si>
  <si>
    <t>Franziska Leeb-Matthias Boeckl-Gabriele Lenz-Martin Mittermair-Stefan OlÃ¡h</t>
  </si>
  <si>
    <t>Zwischen Bauhaus und Stalinallee</t>
  </si>
  <si>
    <t>Architekturdiskussion im Ã¶stlichen Deutschland, 1945 â€“ 1955</t>
  </si>
  <si>
    <t>Andreas SchÃ¤tzke</t>
  </si>
  <si>
    <t>Bauwelt Fundamente</t>
  </si>
  <si>
    <t>Die Inszenierung eines Mythos</t>
  </si>
  <si>
    <t>Le Corbusier und die Akropolis</t>
  </si>
  <si>
    <t>ARCHITECTURE / History / General</t>
  </si>
  <si>
    <t>Turit FrÃ¶be</t>
  </si>
  <si>
    <t>"Viel herrlich und schÃ¶ne GÃ¤rten"</t>
  </si>
  <si>
    <t>600 Jahre Wiener Gartenkunst</t>
  </si>
  <si>
    <t>Eva Berger</t>
  </si>
  <si>
    <t>Der Erste Weltkrieg auf dem deutsch-europÃ¤ischen Literaturfeld</t>
  </si>
  <si>
    <t>Bernd Neumann-Gernot Wimmer</t>
  </si>
  <si>
    <t>Tiere: Begleiter des Menschen in der Literatur des Mittelalters</t>
  </si>
  <si>
    <t>Judith Klingner-Andreas KraÃŸ</t>
  </si>
  <si>
    <t>Generation im Ãœbergang</t>
  </si>
  <si>
    <t>Beheimatungsprozesse deutscher Juden in Israel</t>
  </si>
  <si>
    <t>Katharina Hoba</t>
  </si>
  <si>
    <t>Luther als VorkÃ¤mpfer?</t>
  </si>
  <si>
    <t>Reformation, VolksaufklÃ¤rung und Erinnerungskultur um 1800</t>
  </si>
  <si>
    <t>Werner Greiling-Holger BÃ¶ning-Uwe Schirmer</t>
  </si>
  <si>
    <t>"When exhibitions become politics"</t>
  </si>
  <si>
    <t>Geschichte und Strategien der politischen Kunstaustellung seit den 1960er Jahren</t>
  </si>
  <si>
    <t>ART / Collections, Catalogs, Exhibitions / General</t>
  </si>
  <si>
    <t>Verena Krieger-Elisabeth Fritz</t>
  </si>
  <si>
    <t>"Ãœber das eigentliche Arbeitsgebiet der Geschichte"</t>
  </si>
  <si>
    <t>Der Briefwechsel zwischen Karl Lamprecht und Ernst Bernheim sowie zwischen Karl Lamprecht und Henri Pirenne 1878-1915</t>
  </si>
  <si>
    <t>Luise Schorn-SchÃ¼tte-Mircea Ogrin</t>
  </si>
  <si>
    <t>Simulation rotordynamischer Problemstellungen mit der Smoothed Particle Hydrodynamics Methode</t>
  </si>
  <si>
    <t>TC157.8</t>
  </si>
  <si>
    <t>Computational fluid dynamics.,Hydraulic engineering--Data processing.,Wave equation--Numerical solutions.</t>
  </si>
  <si>
    <t>Stein, Anika.</t>
  </si>
  <si>
    <t>Rotatives VibrationsschweiÃŸen</t>
  </si>
  <si>
    <t>TS227.2</t>
  </si>
  <si>
    <t>Welding--Equipment and supplies.</t>
  </si>
  <si>
    <t>Jarka, Stefan</t>
  </si>
  <si>
    <t>Schriftenreihe des Instituts fuÌˆr Werkstofftechnik/Kunststofftechnik</t>
  </si>
  <si>
    <t>Film, Ethnien und Kulturpolitik im Iran</t>
  </si>
  <si>
    <t>DS266</t>
  </si>
  <si>
    <t>Alam, Homayun</t>
  </si>
  <si>
    <t>HEILIGE IN POLITIK UND Ã–FFENTLICHKEIT</t>
  </si>
  <si>
    <t>Von Konrad Adenauer Ã¼ber Jochen Klepper und Victor Orban bis zu Zar Nikolaus II.</t>
  </si>
  <si>
    <t>RA395.G3</t>
  </si>
  <si>
    <t>Christian biography--Dictionaries.,Christian poetry, German.,Christianity and politics--Biography--Dictionaries.,German literature--Christian authors--Biography--Dictionaries.</t>
  </si>
  <si>
    <t>Theologie von einem alten Kinde - fÃ¼r Jugendliche (und Erwachsene) - erzÃ¤hlt mit Augenzwinkern</t>
  </si>
  <si>
    <t>BR50</t>
  </si>
  <si>
    <t>Theology.</t>
  </si>
  <si>
    <t>Bellers, JuÌˆrgen-Porsche-Ludwig, Markus</t>
  </si>
  <si>
    <t>Leggi tradotte della Repubblica Popolare Cinese</t>
  </si>
  <si>
    <t>KNQ3127</t>
  </si>
  <si>
    <t>Environmental law--China.,Environmental protection--China.</t>
  </si>
  <si>
    <t>Toti, Enrico.</t>
  </si>
  <si>
    <t>Le recenti riforme dei rapporti di lavoro delle pubbliche amministrazioni e della scuola pubblica</t>
  </si>
  <si>
    <t>profili teorici e operativi</t>
  </si>
  <si>
    <t>Administrative law--Italy.,Public administration--Italy.,School employees--Law and legislation--Italy.</t>
  </si>
  <si>
    <t>Pioggia, Alessandra.-Giubboni, Stefano.-Fiorillo, Luigi.-Cerreta, Michele.-Riommi, Maurizio.</t>
  </si>
  <si>
    <t>Rent to buy</t>
  </si>
  <si>
    <t>leasing immobiliare e vendita con riserva della proprietaÌ€, profili civilistici, processuali e tributari</t>
  </si>
  <si>
    <t>K736</t>
  </si>
  <si>
    <t>Real estate business.,Real property.</t>
  </si>
  <si>
    <t>Albanese, Antonio-Mazzamuto, Salvatore</t>
  </si>
  <si>
    <t>Vittime di reato e sistema penale</t>
  </si>
  <si>
    <t>la ricerca di nuovi equilibri</t>
  </si>
  <si>
    <t>KKH4855</t>
  </si>
  <si>
    <t>Criminal justice, Administration of--Italy.,Criminal procedure--Italy.,Victims of crimes--Legal status, laws, etc.--Italy.</t>
  </si>
  <si>
    <t>Bargis, Marta.-Belluta, HerveÌ</t>
  </si>
  <si>
    <t>Procedura penale. Nuovi itinerari</t>
  </si>
  <si>
    <t>IL DIRITTO DELLA SICUREZZA SUL LAVORO TRA CONFERME E SVILUPPI</t>
  </si>
  <si>
    <t>KKH1430</t>
  </si>
  <si>
    <t>Industrial hygiene--Law and legislation--Italy.,Industrial safety--Law and legislation--Italy.</t>
  </si>
  <si>
    <t>LAI, MARCO.</t>
  </si>
  <si>
    <t>Riziko dyslexie</t>
  </si>
  <si>
    <t>PregramotnostniÌ schopnosti a dovednosti a rozvoj gramotnosti v rizikovyÌch skupinaÌch</t>
  </si>
  <si>
    <t>Charles University in Prague, Faculty of Education</t>
  </si>
  <si>
    <t>EDUCATION / Elementary</t>
  </si>
  <si>
    <t>LB1050.5</t>
  </si>
  <si>
    <t>Dyslexia.,Dyslexic children--Education.,Reading--Remedial teaching.</t>
  </si>
  <si>
    <t>Kucharska, Anna</t>
  </si>
  <si>
    <t>VyucÌŒovaÌniÌ matematice orientovaneÌ na budovaÌniÌ scheÌmat: aritmetika 1. stupneÌŒ</t>
  </si>
  <si>
    <t>QA135.6</t>
  </si>
  <si>
    <t>Mathematics--Study and teaching (Elementary)</t>
  </si>
  <si>
    <t>HejnÃ½, Milan</t>
  </si>
  <si>
    <t>SrovnaÌvaciÌ pedagogika</t>
  </si>
  <si>
    <t>promeÌŒny a vyÌzvy</t>
  </si>
  <si>
    <t>LB43</t>
  </si>
  <si>
    <t>Comparative education.</t>
  </si>
  <si>
    <t>Greger, David</t>
  </si>
  <si>
    <t>SpravedlivyÌ start?</t>
  </si>
  <si>
    <t>nerovneÌ sÌŒance v prÌŒedsÌŒkolniÌm vzdeÌŒlaÌvaÌniÌ a prÌŒi prÌŒechodu na zaÌkladniÌ sÌŒkolu</t>
  </si>
  <si>
    <t>LB1140.2</t>
  </si>
  <si>
    <t>Education, Preschool--Evaluation.</t>
  </si>
  <si>
    <t>Greger, David-Masarykova univerzita v BrneÌŒ.-SimonovaÌ, Jaroslava-StrakovaÌ, Jana</t>
  </si>
  <si>
    <t>Tiermedizinische Fachangestellte in der PrÃ¼fung</t>
  </si>
  <si>
    <t>SF761</t>
  </si>
  <si>
    <t>Animal specialists.,Veterinary anatomy.,Veterinary pharmacology.,Veterinary physiology.</t>
  </si>
  <si>
    <t>Kiris, Sibylle.-Grabner, Prof. Dr. Arthur.</t>
  </si>
  <si>
    <t>Archiviodietnografia</t>
  </si>
  <si>
    <t>Rivista del Dipartimento delle Culture Europee e del Mediterraneo : Architettura, Ambiente, Patrimoni Culturali (DiCEM) UniversitaÌ€ degli Shudi della Basilicata</t>
  </si>
  <si>
    <t>GR176</t>
  </si>
  <si>
    <t>Ethnology--Italy.,Folklore--Italy.</t>
  </si>
  <si>
    <t>Mikaela Minga-Marco Sottilotta-Irene Salerno</t>
  </si>
  <si>
    <t>Petrarca, l'Italia, l'Europa</t>
  </si>
  <si>
    <t>sulla varia fortuna di Petrarca : atti del convegno di studi, Bari, 20-22 maggio 2015</t>
  </si>
  <si>
    <t>PQ</t>
  </si>
  <si>
    <t>Tinelli, Elisa</t>
  </si>
  <si>
    <t>Due punti</t>
  </si>
  <si>
    <t>Altamura</t>
  </si>
  <si>
    <t>rivista storica : Bollettino dell'Archivio-Biblioteca-Museo Civico</t>
  </si>
  <si>
    <t>HISTORY / Europe / Italy</t>
  </si>
  <si>
    <t>DG975.A33</t>
  </si>
  <si>
    <t>Archivio-Biblioteca-Museo Civico (Altamura, Italia)</t>
  </si>
  <si>
    <t>Maestranze, artisti e apparatori per la scena dei Gonzaga</t>
  </si>
  <si>
    <t>1480-1630 : atti del convegno internazionale di studi : Mantova, 26-28 febbraio 2015</t>
  </si>
  <si>
    <t>PN</t>
  </si>
  <si>
    <t>Festivals--Italy--Mantua--History--Congresses.,Theater--Italy--Mantua--History--Congresses.</t>
  </si>
  <si>
    <t>Brunetti, Simona.</t>
  </si>
  <si>
    <t>Shakespeare off-scene/Shakespeare un-seen</t>
  </si>
  <si>
    <t>le scene raccontate nell'iconografia shakespeariana : atti del Convegno di studi Shakespeare off-scene/Shakespeare un-seen : visualizing un-staged events in iconography, adaptations, productions, Trento, 29-30 ottobre 2015</t>
  </si>
  <si>
    <t>JUVENILE NONFICTION / Drama</t>
  </si>
  <si>
    <t>PR2877</t>
  </si>
  <si>
    <t>Pietrini, Sandra-Tirabasso, Valeria</t>
  </si>
  <si>
    <t>Versinnlichung</t>
  </si>
  <si>
    <t>Kants transzendentaler Schematismus und seine Revision in der Nachfolge</t>
  </si>
  <si>
    <t>B2799.S29</t>
  </si>
  <si>
    <t>Schematism (Philosophy)</t>
  </si>
  <si>
    <t>Gasperoni, Lidia.</t>
  </si>
  <si>
    <t>Actus et Imago</t>
  </si>
  <si>
    <t>Dialogue Across Media</t>
  </si>
  <si>
    <t>P95.54</t>
  </si>
  <si>
    <t>Communication--Social aspects.,Dialogue--Social aspects.,Mass media and culture.,Mass media--Social aspects.,Popular culture--Social aspects.,Sociolinguistics.</t>
  </si>
  <si>
    <t>Mildorf, Jarmila-Thomas, Bronwen</t>
  </si>
  <si>
    <t>100 Fehler bei der Einstufung von PflegebedÃ¼rftigen</t>
  </si>
  <si>
    <t>und was Sie dagegen tun kÃ¶nnen. Das neue Begutachtungsinstrument. Die aktuellen Pflegegrade. Die pflegefachliche EinschÃ¤tzung. Kompetent einschÃ¤tzen. Pflegegrad. Richtig argumentieren</t>
  </si>
  <si>
    <t>RT48</t>
  </si>
  <si>
    <t>Nursing assessment.,Nursing.</t>
  </si>
  <si>
    <t>KoÌˆnig, Jutta</t>
  </si>
  <si>
    <t>Pflege Leicht</t>
  </si>
  <si>
    <t>Radical Imagination, Radical Humanity</t>
  </si>
  <si>
    <t>Puerto Rican Political Activism in New York</t>
  </si>
  <si>
    <t>SOCIAL SCIENCE / Ethnic Studies / Hispanic American Studies</t>
  </si>
  <si>
    <t>F128.9.P85</t>
  </si>
  <si>
    <t>Political activists--New York (State)--New York--History--20th century.,Puerto Ricans--New York (State)--New York--Politics and government--20th century.,Puerto Ricans--New York (State)--New York--Social conditions--20th century.,Radicals--New York (State)--New York--History--20th century.,Social justice--New York (State)--New York--History--20th century.,Social movements--New York (State)--New York--History--20th century.</t>
  </si>
  <si>
    <t>Muzio, Rose</t>
  </si>
  <si>
    <t>Suny Series, Praxis: Theory in Action</t>
  </si>
  <si>
    <t>The Ideal Bishop</t>
  </si>
  <si>
    <t>RELIGION / Agnosticism</t>
  </si>
  <si>
    <t>BV670.3 .S57 2017eb</t>
  </si>
  <si>
    <t>Episcopacy--Biblical teaching.,Episcopacy--History of doctrines--Middle Ages, 600-1500.</t>
  </si>
  <si>
    <t>Sirilla, Michael G.</t>
  </si>
  <si>
    <t>Thomistic Ressourcement Series</t>
  </si>
  <si>
    <t>Diterpenoids</t>
  </si>
  <si>
    <t>Types, Functions, and Research</t>
  </si>
  <si>
    <t>QK898.T4</t>
  </si>
  <si>
    <t>Botanical chemistry.,Diterpenes.,Organic compounds.,Plant chemotaxonomy.</t>
  </si>
  <si>
    <t>Jones, Brandon</t>
  </si>
  <si>
    <t>Chemistry Research and Applications</t>
  </si>
  <si>
    <t>Rangelands Along the Silk Road</t>
  </si>
  <si>
    <t>Transformative Adaptation Under Climate and Global Change</t>
  </si>
  <si>
    <t>SCIENCE / Environmental Science</t>
  </si>
  <si>
    <t>QH179</t>
  </si>
  <si>
    <t>Climatic changes--Silk Road Region.,Grassland ecology--Silk Road Region.,Range ecology--Silk Road Region.</t>
  </si>
  <si>
    <t>Squires, Victor R.</t>
  </si>
  <si>
    <t>Environmental Research Advances</t>
  </si>
  <si>
    <t>50 Wege zur kreativen Fotografie</t>
  </si>
  <si>
    <t>TR145</t>
  </si>
  <si>
    <t>Photography, Artistic.,Photography.,Photography--Digital techniques.</t>
  </si>
  <si>
    <t>Freeman, Michael</t>
  </si>
  <si>
    <t>Edition Profifoto</t>
  </si>
  <si>
    <t>The Philosophy of Social Ecology</t>
  </si>
  <si>
    <t>Essays on Dialectical Naturalism</t>
  </si>
  <si>
    <t>GF80 .B66 2017</t>
  </si>
  <si>
    <t>Dialectic.,Environmental ethics.,Philosophy of nature.</t>
  </si>
  <si>
    <t>Bookchin, Murray</t>
  </si>
  <si>
    <t>Ð£ÑÐ²Ð¾ÐµÐ½Ð¸Ðµ Ð²Ñ‚Ð¾Ñ€Ð¾Ð³Ð¾ ÑÐ·Ñ‹ÐºÐ° Ð² ÑÐ»Ð¾Ð¶Ð½Ð¾Ð¼ ÑÐ·Ñ‹ÐºÐ¾Ð²Ð¾Ð¼ Ð¾ÐºÑ€ÑƒÐ¶ÐµÐ½Ð¸Ð¸</t>
  </si>
  <si>
    <t>ÐºÐ°Ðº Ð½Ð¾ÑÐ¸Ñ‚ÐµÐ»Ð¸ Ñ€ÑƒÑÑÐºÐ¾Ð³Ð¾ ÑÐ·Ñ‹ÐºÐ° ÑƒÑÐ²Ð°Ð¸Ð²Ð°ÑŽÑ‚ Ð»Ð¸Ñ‚ÐµÑ€Ð°Ñ‚ÑƒÑ€Ð½Ñ‹Ðµ Ð¸ Ð½ÐµÐ»Ð¸Ñ‚ÐµÑ€Ð°Ñ‚ÑƒÑ€Ð½Ñ‹Ðµ Ñ€Ð°Ð·Ð½Ð¾Ð²Ð¸Ð´Ð½Ð¾ÑÑ‚Ð¸ Ð½ÐµÐ¼ÐµÑ†ÐºÐ¾Ð³Ð¾ Ð¸ Ñ‡ÐµÑˆÑÐºÐ¾Ð³Ð¾ ÑÐ·Ñ‹ÐºÐ¾Ð²</t>
  </si>
  <si>
    <t>Univerzita Karlova v Praze, Filozoficka fakulta</t>
  </si>
  <si>
    <t>Charles University in Prague, Faculty of Arts Press</t>
  </si>
  <si>
    <t>P118.2</t>
  </si>
  <si>
    <t>Czech language--Social aspects.,German language--Social aspects.,Russians--Czech Republic--Language.,Russians--Germany--Language.,Second language acquisition.</t>
  </si>
  <si>
    <t>Besters-Dilger, Juliane-Gladkova, Hana</t>
  </si>
  <si>
    <t>47. svazek rÌŒady Varia</t>
  </si>
  <si>
    <t>Ð‘Ð¸Ð±Ð»Ð¸Ð¾Ð³Ñ€Ð°Ñ„Ð¸Ñ Ð¿Ð¾ ÑÐ¾Ð¿Ð¾ÑÑ‚Ð°Ð²Ð¸Ñ‚ÐµÐ»ÑŒÐ½Ð¾Ð¼Ñƒ Ð¸Ð·ÑƒÑ‡ÐµÐ½Ð¸ÑŽ Ñ€ÑƒÑÑÐºÐ¾Ð³Ð¾ Ð¸ Ñ‡ÐµÑˆÑÐºÐ¾Ð³Ð¾ ÑÐ·Ñ‹ÐºÐ¾Ð²</t>
  </si>
  <si>
    <t>PG2099</t>
  </si>
  <si>
    <t>Czech language--Grammar, Comparative--Russian.,Czech language--Grammar, Comparative--Russian--Bibliography.,Russian language--Grammar, Comparative--Czech.,Russian language--Grammar, Comparative--Czech--Bibliography.</t>
  </si>
  <si>
    <t>Gladkova, Hana</t>
  </si>
  <si>
    <t>46. svazek rÌŒady Varia</t>
  </si>
  <si>
    <t>ChetitskaÌ cÌŒiÌtanka</t>
  </si>
  <si>
    <t>FOREIGN LANGUAGE STUDY / Miscellaneous</t>
  </si>
  <si>
    <t>P945 .F736 2016eb</t>
  </si>
  <si>
    <t>Hittite language--Readers.,Hittite language--Textbooks for foreign speakers--Czech.</t>
  </si>
  <si>
    <t>FrantiÌkovaÌ, Dita</t>
  </si>
  <si>
    <t>45. svazek rÌŒady Varia</t>
  </si>
  <si>
    <t>StaÌty zaÌpadniÌho BalkaÌnu v uplynuleÌm cÌŒtvrtstoletiÌ a perspektivy jejich vyÌvoje</t>
  </si>
  <si>
    <t>DR1692 .S738 2016eb</t>
  </si>
  <si>
    <t>PelikaÌn, Jan.-ChrobaÌk, TomaÌsÌŒ.-RychliÌk, Jan.</t>
  </si>
  <si>
    <t>Varia</t>
  </si>
  <si>
    <t>Mensch und Transzendenz</t>
  </si>
  <si>
    <t>Natur- und Geisteswissenschaften, InterkulturalitÃ¤t - Wozu?,  Die Menschenrechte, Globalisierung und Religion im Widerstreit</t>
  </si>
  <si>
    <t>Q175</t>
  </si>
  <si>
    <t>Globalization--Religious aspects.,Intercultural communication.,Philosophy of nature.,Science--Philosophy.</t>
  </si>
  <si>
    <t>Gerdsen, Peter-YuÌ„sufiÌ„, HÌ£amiÌ„d RizÌ¤aÌ„-Peter-Gerdsen-Stiftung</t>
  </si>
  <si>
    <t>Gesammelte Werke / Peter Gerdsen</t>
  </si>
  <si>
    <t>Blockiertes Deutschland, Deutschland in den Fesseln der Ideologien</t>
  </si>
  <si>
    <t>B823.3 .M467 2017</t>
  </si>
  <si>
    <t>Ideologies in literature.,Ideology.,Ideology--Germany.,Political correctness.</t>
  </si>
  <si>
    <t>Yousefi, Hamid Reza.</t>
  </si>
  <si>
    <t>Mensch und Wissenschaft</t>
  </si>
  <si>
    <t>Researching Translation Competence by PACTE Group</t>
  </si>
  <si>
    <t>Quantitative research.,Translating and interpreting--Research.,Translating and interpreting--Study and teaching--Methodology.,Translating and interpreting--Study and teaching--Research.</t>
  </si>
  <si>
    <t>Hurtado Albir, Amparo</t>
  </si>
  <si>
    <t>Worldmaking</t>
  </si>
  <si>
    <t>Literature, Language, Culture</t>
  </si>
  <si>
    <t>P99.4.P78</t>
  </si>
  <si>
    <t>Communication and culture.,Culture--Semiotic models.,Language and culture.,Literature and society.,Psycholinguistics.,Semiotics--Psychological aspects.,Symbolism (Psychology)</t>
  </si>
  <si>
    <t>Clark, Tom-Finlay, Emily-Kelly, Philippa</t>
  </si>
  <si>
    <t>Conversational Structures of Alto PerenÃ© (Arawak) of Peru</t>
  </si>
  <si>
    <t>PM5476</t>
  </si>
  <si>
    <t>Arawak Indians--Social life and customs.,Arawak language.,Campa languages--Peru--Perene River Valley.,Communication and culture--Peru.,Conversation analysis--Peru.,Discourse analysis--Peru.,Endangered languages--Peru.</t>
  </si>
  <si>
    <t>Mihas, Elena-Santos PeÌrez, Gregorio</t>
  </si>
  <si>
    <t>Studies in Language Companion Series</t>
  </si>
  <si>
    <t>Involvement and Attitude in Japanese Discourse</t>
  </si>
  <si>
    <t>Interactive Markers</t>
  </si>
  <si>
    <t>PL640.5</t>
  </si>
  <si>
    <t>Discourse markers.,Japanese language--Discourse analysis.,Japanese language--Sentence particles.,Japanese language--Spoken Japanese.</t>
  </si>
  <si>
    <t>Ogi, Naomi</t>
  </si>
  <si>
    <t>Pragmatics &amp; Beyond New Series (P &amp; BNS)</t>
  </si>
  <si>
    <t>Racism in the United States, Second Edition</t>
  </si>
  <si>
    <t>Implications for the Helping Professions</t>
  </si>
  <si>
    <t>SOCIAL SCIENCE / Social Work</t>
  </si>
  <si>
    <t>E185.615 .M525 2017</t>
  </si>
  <si>
    <t>Human services--Moral and ethical aspects.,Racism--United States.,Social service--Moral and ethical aspects.</t>
  </si>
  <si>
    <t>Miller, Joshua-Garran, Ann Marie</t>
  </si>
  <si>
    <t>The Islamic Challenge and the United States</t>
  </si>
  <si>
    <t>Global Security in an Age of Uncertainty</t>
  </si>
  <si>
    <t>BP166.14</t>
  </si>
  <si>
    <t>Islam--21st century.,Islamic fundamentalism.,Jihad.,Security, International.,Terrorism--Religious aspects--Islam.,War--Religious aspects--Islam.</t>
  </si>
  <si>
    <t>Ahrari, Mohammed E.</t>
  </si>
  <si>
    <t>100 Tipps fÃ¼r die Pflegeplanung in der stationÃ¤ren Altenpflege</t>
  </si>
  <si>
    <t>RT49</t>
  </si>
  <si>
    <t>Nursing care plans.,Nursing homes--Planning.</t>
  </si>
  <si>
    <t>Messer, Barbara.</t>
  </si>
  <si>
    <t>Participatory Democracy</t>
  </si>
  <si>
    <t>Prospects for Democratizing Democracy</t>
  </si>
  <si>
    <t>JK1764 .P37 2017</t>
  </si>
  <si>
    <t>Democracy--United States.,Political participation--United States.</t>
  </si>
  <si>
    <t>Roussopoulos, Dimitrios I.-Benello, C. George</t>
  </si>
  <si>
    <t>A Professor at the End of Time</t>
  </si>
  <si>
    <t>The Work and Future of the Professoriate</t>
  </si>
  <si>
    <t>Rutgers University Press</t>
  </si>
  <si>
    <t>LB1778.2 .B474 2017eb</t>
  </si>
  <si>
    <t>College teachers--United States.,College teaching--United States.,Education, Higher--Aims and objectives--United States.,Education, Higher--Effect of technological innovations on--United States.,Learning and scholarship--United States.</t>
  </si>
  <si>
    <t>Best, John B.</t>
  </si>
  <si>
    <t>Evaluative Research Methods</t>
  </si>
  <si>
    <t>Managing the Complexities of Judgement in the Field</t>
  </si>
  <si>
    <t>REFERENCE / Questions &amp; Answers</t>
  </si>
  <si>
    <t>Q180.55.M4</t>
  </si>
  <si>
    <t>Research--Evaluation.,Research--Methodology.,Research--Moral and ethical aspects.</t>
  </si>
  <si>
    <t>Kushner, Saville</t>
  </si>
  <si>
    <t>The Timing of Neural and Behavioral Events</t>
  </si>
  <si>
    <t>Its Relation to Human Experience</t>
  </si>
  <si>
    <t>SCIENCE / Cognitive Science</t>
  </si>
  <si>
    <t>BF201</t>
  </si>
  <si>
    <t>Cognitive psychology.,Emotions and cognition.</t>
  </si>
  <si>
    <t>Hoosain, R.</t>
  </si>
  <si>
    <t>Sustainable Peace in the 21st Century</t>
  </si>
  <si>
    <t>Bridging the Gap From Theory to Practice</t>
  </si>
  <si>
    <t>JZ5534</t>
  </si>
  <si>
    <t>Conflict management--Study and teaching.,Culture conflict--Study and teaching.,Peace-building--Study and teaching.,Peace--Study and teaching.,Social conflict--Study and teaching.</t>
  </si>
  <si>
    <t>Kulkarni, Dilip Vasudeo</t>
  </si>
  <si>
    <t>Peace Education Series</t>
  </si>
  <si>
    <t>Partners in Suspense</t>
  </si>
  <si>
    <t>Critical Essays on Bernard Herrmann and Alfred Hitchcock</t>
  </si>
  <si>
    <t>MUSIC / Individual Composer &amp; Musician</t>
  </si>
  <si>
    <t>PN1998.3.H58 P37 2017eb</t>
  </si>
  <si>
    <t>Motion picture music--United States--History and criticism.,Motion pictures--Production and direction.,Suspense in motion pictures, television, etc.</t>
  </si>
  <si>
    <t>Rawle, Steven-Donnelly, K. J.</t>
  </si>
  <si>
    <t>The Stadium Century</t>
  </si>
  <si>
    <t>Sport, Spectatorship and Mass Society in Modern France</t>
  </si>
  <si>
    <t>GV415 .L49 2017eb</t>
  </si>
  <si>
    <t>Stadiums--France--History.</t>
  </si>
  <si>
    <t>Lewis, Robert W.</t>
  </si>
  <si>
    <t>Studies in Modern French History</t>
  </si>
  <si>
    <t>Representing Ethnicity in Contemporary French Visual Culture</t>
  </si>
  <si>
    <t>PERFORMING ARTS / Television / History &amp; Criticism</t>
  </si>
  <si>
    <t>HN440.M84 M4 2017eb</t>
  </si>
  <si>
    <t>Ethnicity in motion pictures.,Ethnicity on television.,Ethnicity--France.</t>
  </si>
  <si>
    <t>McGonagle, Joseph</t>
  </si>
  <si>
    <t>The Role of Terrorism in Twenty-First-Century Warfare</t>
  </si>
  <si>
    <t>POLITICAL SCIENCE / Terrorism</t>
  </si>
  <si>
    <t>U21.2 .M3585 2017eb</t>
  </si>
  <si>
    <t>Insurgency.,Military history, Modern--20th century.,Terrorism.,War--History--20th century.</t>
  </si>
  <si>
    <t>Martin, Susanne-Weinberg, Leonard</t>
  </si>
  <si>
    <t>New Directions in Terrorism Studies</t>
  </si>
  <si>
    <t>Caffeic Acid</t>
  </si>
  <si>
    <t>MEDICAL / Preventive Medicine</t>
  </si>
  <si>
    <t>QP801.C24</t>
  </si>
  <si>
    <t>Caffeine.,Caffeine--Physiological effect.,Coffee--Health aspects.</t>
  </si>
  <si>
    <t>Collins, Henry R.</t>
  </si>
  <si>
    <t>A People's History of the Russian Revolution</t>
  </si>
  <si>
    <t>DK265 .F38 2017eb</t>
  </si>
  <si>
    <t>Faulkner, Neil</t>
  </si>
  <si>
    <t>Mutiny at the Margins: New Perspectives on the Indian Uprising of 1857</t>
  </si>
  <si>
    <t>Documents of the Indian Uprising</t>
  </si>
  <si>
    <t>HISTORY / Asia / India &amp; South Asia</t>
  </si>
  <si>
    <t>DS478</t>
  </si>
  <si>
    <t>Bates, Crispin.-Carter, Marina.</t>
  </si>
  <si>
    <t>Mutiny at the Margins</t>
  </si>
  <si>
    <t>Investing in Soft Infrastructure</t>
  </si>
  <si>
    <t>BUSINESS &amp; ECONOMICS / Finance / General</t>
  </si>
  <si>
    <t>HC430.C3 M63 2017</t>
  </si>
  <si>
    <t>Infrastructure (Economics)--China.</t>
  </si>
  <si>
    <t>Lam, W. Raphael-Rodlauer, Markus-Schipke, Alfred</t>
  </si>
  <si>
    <t>Ecotoxicology in Latin America</t>
  </si>
  <si>
    <t>Nova</t>
  </si>
  <si>
    <t>SCIENCE / Chemistry / Toxicology</t>
  </si>
  <si>
    <t>QH106.5</t>
  </si>
  <si>
    <t>Ecological risk assessment--Latin America.,Environmental toxicology--Latin America.,Nature--Effect of human beings on--Latin America.</t>
  </si>
  <si>
    <t>ArauÌjo, Cristiano V. M.-Shinn, Candida Helena.</t>
  </si>
  <si>
    <t>Environmental Science, Engineering, and Technology</t>
  </si>
  <si>
    <t>Discovery of Rapid Eye Movement (REM) Sleep by William C. Dement and Michel Jouvet. 1955-1970</t>
  </si>
  <si>
    <t>Contribution of Their Research Environment and Later Findings</t>
  </si>
  <si>
    <t>QP425</t>
  </si>
  <si>
    <t>Rapid eye movement sleep--Research--History.</t>
  </si>
  <si>
    <t>Gottesmann, Claude</t>
  </si>
  <si>
    <t>Neuroscience Research Progress</t>
  </si>
  <si>
    <t>Advances in Studies on Enzyme Inhibitors As Drugs</t>
  </si>
  <si>
    <t>QP601.5</t>
  </si>
  <si>
    <t>Enzyme inhibitors.</t>
  </si>
  <si>
    <t>Gupta, Satya P.</t>
  </si>
  <si>
    <t>The Al-Baqara Crescendo</t>
  </si>
  <si>
    <t>Understanding the Qur'an's Style, Narrative Structure, and Running Themes</t>
  </si>
  <si>
    <t>BP128.17</t>
  </si>
  <si>
    <t>Reda, Nevin</t>
  </si>
  <si>
    <t>Advancing Studies in Religion</t>
  </si>
  <si>
    <t>Twenty-First-Century Fiction</t>
  </si>
  <si>
    <t>Contemporary British Voices</t>
  </si>
  <si>
    <t>PR889 .T866 2017</t>
  </si>
  <si>
    <t>English fiction--21st century--History and criticism.</t>
  </si>
  <si>
    <t>Lea, Daniel</t>
  </si>
  <si>
    <t>Spenserian Satire</t>
  </si>
  <si>
    <t>A Tradition of Indirection</t>
  </si>
  <si>
    <t>PR2367.S2</t>
  </si>
  <si>
    <t>Hile, Rachel E.</t>
  </si>
  <si>
    <t>Image Operations</t>
  </si>
  <si>
    <t>Visual Media and Political Conflict</t>
  </si>
  <si>
    <t>P95.8 .I33 2017</t>
  </si>
  <si>
    <t>Documentary mass media.,Images, Photographic.,Mass media--Political aspects.,Motion pictures--Political aspects.,Politics in art.,War.</t>
  </si>
  <si>
    <t>Eder, Jens-Klonk, Charlotte</t>
  </si>
  <si>
    <t>SchilddrÃ¼senunterfunktion erfolgreich behandeln</t>
  </si>
  <si>
    <t>Wege aus dem Stimmungstief, Gewicht in Balance, Schluss mit mÃ¼de, schlapp und blass!</t>
  </si>
  <si>
    <t>RC657</t>
  </si>
  <si>
    <t>Diet therapy.,Hypothyroidism--Treatment.</t>
  </si>
  <si>
    <t>Flemmer, Andrea</t>
  </si>
  <si>
    <t>Giurisprudenza arbitrale</t>
  </si>
  <si>
    <t>KKH1829</t>
  </si>
  <si>
    <t>Arbitration and award--Italy.</t>
  </si>
  <si>
    <t>Cagnasso, Oreste</t>
  </si>
  <si>
    <t>Variazioni sui temi di diritto del lavoro</t>
  </si>
  <si>
    <t>KKH1270</t>
  </si>
  <si>
    <t>Labor laws and legislation--Italy.</t>
  </si>
  <si>
    <t>Gragnoli, Enrico</t>
  </si>
  <si>
    <t>Regole e mercato</t>
  </si>
  <si>
    <t>HG186.A2</t>
  </si>
  <si>
    <t>Financial institutions--Europe--Management.</t>
  </si>
  <si>
    <t>Mancini, Marco.</t>
  </si>
  <si>
    <t>Principio capitalistico. Quo vadis?</t>
  </si>
  <si>
    <t>K623</t>
  </si>
  <si>
    <t>Capitalists and financiers.,Commercial law.,Corporation law.</t>
  </si>
  <si>
    <t>Portale, Giuseppe B.-Briolini, Federico.-Marchetti, Piergaetano.</t>
  </si>
  <si>
    <t>Sezione Raccolte di Studi</t>
  </si>
  <si>
    <t>I sentieri del giurista sulle tracce della fraternitaÌ€</t>
  </si>
  <si>
    <t>ordinamenti a confronto</t>
  </si>
  <si>
    <t>KZ1268</t>
  </si>
  <si>
    <t>Law and globalization.</t>
  </si>
  <si>
    <t>Cosseddu, Adriana</t>
  </si>
  <si>
    <t>Il diritto di voto</t>
  </si>
  <si>
    <t>Profili costituzionali e prospettive evolutive</t>
  </si>
  <si>
    <t>POLITICAL SCIENCE / Political Process / General</t>
  </si>
  <si>
    <t>JK1896</t>
  </si>
  <si>
    <t>Women--Suffrage.</t>
  </si>
  <si>
    <t>Rubechi, Massimo.</t>
  </si>
  <si>
    <t>Processo Civile Telematico</t>
  </si>
  <si>
    <t>Con cenni sul processo amministrativo telematico (d.p.c.m. 16 febbraio 2016, n. 40; d.l. 31 agosto 2016, n. 168)</t>
  </si>
  <si>
    <t>Civil procedure--Italy--Data processing.</t>
  </si>
  <si>
    <t>Novario, Filippo.</t>
  </si>
  <si>
    <t>La clientela professionale come bene giuridico</t>
  </si>
  <si>
    <t>Occorsio, Vittorio.</t>
  </si>
  <si>
    <t>Collana dell'UniversitaÌ€ europea di Roma</t>
  </si>
  <si>
    <t>L'imputazione latente</t>
  </si>
  <si>
    <t>K5015.4</t>
  </si>
  <si>
    <t>Criminal law.</t>
  </si>
  <si>
    <t>Fiorelli, Giulia.</t>
  </si>
  <si>
    <t>Processo penale e politica criminale</t>
  </si>
  <si>
    <t>La lingua come fattore di integrazione sociale e politica</t>
  </si>
  <si>
    <t>atti del convegno Firenze, 18 marzo 2016</t>
  </si>
  <si>
    <t>P119.315</t>
  </si>
  <si>
    <t>Language and languages--Political aspects.,Linguistic minorities.,Sociolinguistics.</t>
  </si>
  <si>
    <t>Caretti, Paolo-Mobilio, Giuseppe</t>
  </si>
  <si>
    <t>Abuso del diritto ed elusione fiscale</t>
  </si>
  <si>
    <t>KKH3695</t>
  </si>
  <si>
    <t>Tax evasion--Italy.,Tax evasion--Law and legislation--Italy.</t>
  </si>
  <si>
    <t>Della Valle, Eugenio.-Ficari, Valerio.-Marini, Giuseppe.</t>
  </si>
  <si>
    <t>Diritto tributario italiano ed europeo. Sezione Studi e attualitaÌ€. Commenti</t>
  </si>
  <si>
    <t>Rappresentanza e globalizzazione</t>
  </si>
  <si>
    <t>atti del convegno dell'Associazione di diritto pubblico comparato ed europeo, Sassari, UniversitaÌ€ degli studi, 16 ottobre 2015</t>
  </si>
  <si>
    <t>KJC4413</t>
  </si>
  <si>
    <t>Comparative law--Congresses.,Public law--Europe--Congresses.</t>
  </si>
  <si>
    <t>Bassu, Carla.-Carboni, Giuliana G.</t>
  </si>
  <si>
    <t>Diritto pubblico comparato ed europeo. Convegni</t>
  </si>
  <si>
    <t>Warum Christen AfD wÃ¤hlen</t>
  </si>
  <si>
    <t>Wo die linken GroÃŸkirchen geschlafen haben:   Islam, Ausbeutung der LeistungstrÃ¤ger,   Gender-Ideologie, Zerfall der Familie,   Pazifismus-Illusion usw .</t>
  </si>
  <si>
    <t>BR856.3</t>
  </si>
  <si>
    <t>Church and state--Germany--Catholic Church.</t>
  </si>
  <si>
    <t>Ein staatsfernes, freiheitliches Christentum</t>
  </si>
  <si>
    <t>Die quellennah andere Geschichte des Katholizismus und US-Protestantismus Was die linken Theologiebeamten in Deutschland verfÃ¤lschen</t>
  </si>
  <si>
    <t>BR515</t>
  </si>
  <si>
    <t>Christianity--United States.,Protestantism--United States.</t>
  </si>
  <si>
    <t>Unternehmerische Verantwortung fÃ¼r nachhaltige Entwicklung â€“ eine sinnvolle Forderung? â€žZwischen Gewissen und Gewinnâ€œ: Die â€žFreiburger Denkschriftâ€œ und ihre christliche BegrÃ¼ndung einer â€žSozial-Wirtschaftsethikâ€œ Das Gewinnparadox in der Unternehmensethik:</t>
  </si>
  <si>
    <t>Business ethics.,Social responsibility of business.</t>
  </si>
  <si>
    <t>Maurer, Rainer-Holthaus, Stephan-Nauck, Janaina Drummond-Farmer, Karl</t>
  </si>
  <si>
    <t>Zeitschrift fuÌˆr Marktwirtschaft und Ethink</t>
  </si>
  <si>
    <t>Heilige Schriften</t>
  </si>
  <si>
    <t>BS514.3</t>
  </si>
  <si>
    <t>Faith.,Peace--Religious aspects--Christianity.,Sacred books--History and criticism.,Theology.</t>
  </si>
  <si>
    <t>Lange, Wera.-Will, Michaela.</t>
  </si>
  <si>
    <t>Akademie Theologie</t>
  </si>
  <si>
    <t>Dreisprachiges WÃ¶rterbuch fÃ¼r Tourismus</t>
  </si>
  <si>
    <t>Deutsch-RumÃ¤nisch-Ungarisch</t>
  </si>
  <si>
    <t>Tourism--Dictionaries.,Tourism--Dictionaries--German.,Tourism--Dictionaries--Hungarian.,Tourism--Dictionaries--Romanian.,Travel--Dictionaries.,Travel--Dictionaries--German.,Travel--Dictionaries--Hungarian.,Travel--Dictionaries--Romanian.</t>
  </si>
  <si>
    <t>Hamburg, Andrea</t>
  </si>
  <si>
    <t>Bertaldas Altar</t>
  </si>
  <si>
    <t>DD801.P74</t>
  </si>
  <si>
    <t>Altarpieces--Germany--Prignitz.,Altars--Germany--Prignitz.</t>
  </si>
  <si>
    <t>Serner, Hans</t>
  </si>
  <si>
    <t>Erkenntnisgestalten und Handlungsanweisungen</t>
  </si>
  <si>
    <t>BD163</t>
  </si>
  <si>
    <t>Cognition.,Knowledge, Theory of.,Philosophy.</t>
  </si>
  <si>
    <t>JakovljevicÌ, Dragan</t>
  </si>
  <si>
    <t>Libri nigri</t>
  </si>
  <si>
    <t>Lecker ohne ... Weizen</t>
  </si>
  <si>
    <t>Warum eine glutenfreie ErnÃ¤hrung sinnvoll ist, Die besten Alternativen zu Weizen und wie man sie einsetzt</t>
  </si>
  <si>
    <t>COOKING / General</t>
  </si>
  <si>
    <t>RM237.86</t>
  </si>
  <si>
    <t>Gluten-free diet--Recipes.</t>
  </si>
  <si>
    <t>Hirschfelder, Alexandra-Offenborn, Sabine</t>
  </si>
  <si>
    <t>Krampfadern natÃ¼rlich behandeln</t>
  </si>
  <si>
    <t>Venen in 12 Schritten ganzheitlich stÃ¤rken. Mit vielen Empfehlungen aus der chinesischen Medizin</t>
  </si>
  <si>
    <t>RC695</t>
  </si>
  <si>
    <t>Medicine, Chinese.,Varicose veins--Alternative treatment.,Varicose veins--Treatment.</t>
  </si>
  <si>
    <t>Wilhelms, Theresia</t>
  </si>
  <si>
    <t>Der Gesundheitskurs: Arthrose</t>
  </si>
  <si>
    <t>Das Ãœbungsprogramm fÃ¼r mehr Beweglichkeit. Die richtige ErnÃ¤hrung gegen EntzÃ¼ndungen.</t>
  </si>
  <si>
    <t>RC931.O67</t>
  </si>
  <si>
    <t>Exercise therapy.,Osteoarthritis--Treatment.</t>
  </si>
  <si>
    <t>Bach, Sven-KoÌˆnig, Patrick-KoÌˆnig, Michael</t>
  </si>
  <si>
    <t>100 Fragen zum Umgang mit Schmerz in der Pflege</t>
  </si>
  <si>
    <t>Mit Opiod-Umrechnungstabelle. Grundlagen und pflegerische Tipps. FÃ¼r Ausbildung und Praxis</t>
  </si>
  <si>
    <t>RT87.P35</t>
  </si>
  <si>
    <t>Pain--Nursing.</t>
  </si>
  <si>
    <t>Kresse, Heide</t>
  </si>
  <si>
    <t>Gesundheitsratgeber Fettleber</t>
  </si>
  <si>
    <t>Die Lebensweise Ã¤ndern - die Leber regenerieren. Ein Ratgeber von Deutsche Leberhilfe e. V. Die Patientenorganisation</t>
  </si>
  <si>
    <t>RC848.F3</t>
  </si>
  <si>
    <t>Fatty liver.</t>
  </si>
  <si>
    <t>Canbay, Ali-Deutsche Leberhilfe</t>
  </si>
  <si>
    <t>111 GenieÃŸerrezepte fÃ¼r Magen und Darm</t>
  </si>
  <si>
    <t>Sanfte Schonkost bei VÃ¶llegefÃ¼hl, BlÃ¤hungen, Verstopfung, Sodbrennen &amp; Co., Die Verdauung entlasten</t>
  </si>
  <si>
    <t>RC860</t>
  </si>
  <si>
    <t>Diet therapy.,Intestines--Diseases--Diet therapy.,Stomach--Diseases--Diet therapy.</t>
  </si>
  <si>
    <t>LoÌˆffler, Beate</t>
  </si>
  <si>
    <t>Ð¡Ð±Ð¾Ñ€Ð½Ð¸Ðº Ð·Ð°Ð´Ð°Ñ‡ Ð¸ ÑƒÐ¿Ñ€Ð°Ð¶Ð½ÐµÐ½Ð¸Ð¹ Ð¿Ð¾ ÐºÑƒÑ€ÑÑƒ Â«Ð­ÐºÐ¾Ð½Ð¾Ð¼Ð¸ÐºÐ°Â» : ÑƒÑ‡ÐµÐ±Ð½Ð¾Ðµ Ð¿Ð¾ÑÐ¾Ð±Ð¸Ðµ</t>
  </si>
  <si>
    <t>Direct-Media</t>
  </si>
  <si>
    <t>Ð”Ð¸Ñ€ÐµÐºÑ‚-ÐœÐµÐ´Ð¸Ð°</t>
  </si>
  <si>
    <t>ÐÐºÐ¸Ð¼Ð¾Ð²Ð° Ð•. Ð.</t>
  </si>
  <si>
    <t>QualitÃ¤tsanalyse koordinierter Lichtsignalsteuerungen unter Verwendung kooperativ gewonnener MessgrÃ¶ÃŸen</t>
  </si>
  <si>
    <t>BUSINESS &amp; ECONOMICS / Industries / Transportation</t>
  </si>
  <si>
    <t>TE228 .R83 2017eb</t>
  </si>
  <si>
    <t>Traffic signs and signals.,Traffic signs and signals--Control systems.</t>
  </si>
  <si>
    <t>Rudolph, Felix</t>
  </si>
  <si>
    <t>Schriftenreihe Verkehr der UniversitaÌˆt Kassel</t>
  </si>
  <si>
    <t>Microlearning to Boost the Employee Experience</t>
  </si>
  <si>
    <t>LB1027.415 M374 2017eb</t>
  </si>
  <si>
    <t>Microlearning.,Teaching--Methodology.</t>
  </si>
  <si>
    <t>Margol, Elise Greene</t>
  </si>
  <si>
    <t>PoliÌticas econoÌmicas y derechos sociales</t>
  </si>
  <si>
    <t>Dykinson SL</t>
  </si>
  <si>
    <t>Dykinson</t>
  </si>
  <si>
    <t>K1700 .P65 2016eb</t>
  </si>
  <si>
    <t>Economic policy--Congresses.,Social legislation--Congresses.</t>
  </si>
  <si>
    <t>Abad Castelos, Montserrat-RodriÌguez Palop, MariÌa Eugenia-Llamazares Calzadilla, MariÌa Cruz</t>
  </si>
  <si>
    <t>Gregorio Peces-Barba</t>
  </si>
  <si>
    <t>La economiÌa digital y el comercio electroÌnico</t>
  </si>
  <si>
    <t>su incidencia en el sistema tributario</t>
  </si>
  <si>
    <t>HF5548.32 .A43 2016eb</t>
  </si>
  <si>
    <t>Electronic commerce.,Information technology--Economic aspects.</t>
  </si>
  <si>
    <t>Ãlamo Cerrillo, Raquel</t>
  </si>
  <si>
    <t>El poder de la comunicacioÌn</t>
  </si>
  <si>
    <t>claves de la comunicacioÌn estrateÌgica en los espacios juriÌdico y poliÌtico</t>
  </si>
  <si>
    <t>P95.8 .P63 2016eb</t>
  </si>
  <si>
    <t>Communication in law.,Communication.,Communication--Political aspects.</t>
  </si>
  <si>
    <t>MUNOZ GONZALEZ, SARA-ORTEGA PEREZ, NIEVES-SERRAN.</t>
  </si>
  <si>
    <t>EmigracioÌn y relaciones bilaterales EspanÌƒa-Chile (1810-2015)</t>
  </si>
  <si>
    <t>SOCIAL SCIENCE / Emigration &amp; Immigration</t>
  </si>
  <si>
    <t>F3285.S7 E45 2016eb</t>
  </si>
  <si>
    <t>Spaniards--Chile--History.</t>
  </si>
  <si>
    <t>AZCONA PASTOR, JOSE MANUEL (ED.)</t>
  </si>
  <si>
    <t>Being Black, Being Male on Campus</t>
  </si>
  <si>
    <t>Understanding and Confronting Black Male Collegiate Experiences</t>
  </si>
  <si>
    <t>LC2781 .B757 2017</t>
  </si>
  <si>
    <t>African American male college students.,African American men--Education (Higher),African American men--Social conditions.,African American men--Social life and customs.</t>
  </si>
  <si>
    <t>Brooms, Derrick R.</t>
  </si>
  <si>
    <t>Hans-JÃ¼rgen Syberberg, the Film Director As Critical Thinker</t>
  </si>
  <si>
    <t>The Challenges and Responses in a New Gateway State</t>
  </si>
  <si>
    <t>LC3732.N8 I47 2017eb</t>
  </si>
  <si>
    <t>Immigrant students--North Carolina.</t>
  </si>
  <si>
    <t>Rong, Xue Lan-Hilburn, Jeremy</t>
  </si>
  <si>
    <t>Breakthroughs in the Sociology of Education</t>
  </si>
  <si>
    <t>Monitoring the Quality of Education in Schools</t>
  </si>
  <si>
    <t>Examples of Feedback Into Systems From Developed and Emerging Economies</t>
  </si>
  <si>
    <t>LB2822.75 .M66 2017</t>
  </si>
  <si>
    <t>Educational evaluation.</t>
  </si>
  <si>
    <t>Scherman, Vanessa-Bosker, R. J.-Howie, Sarah J.</t>
  </si>
  <si>
    <t>Natural Polymers</t>
  </si>
  <si>
    <t>Derivatives, Blends and Composites</t>
  </si>
  <si>
    <t>SCIENCE / Life Sciences / Biochemistry</t>
  </si>
  <si>
    <t>QP801.B69 N38 2017</t>
  </si>
  <si>
    <t>Biopolymers.</t>
  </si>
  <si>
    <t>Ikram, Saiqa-Ahmed, Shakeel</t>
  </si>
  <si>
    <t>Il diritto contrattuale della famiglia</t>
  </si>
  <si>
    <t>Le funzioni di consulenza e negoziazione dell'avvocato</t>
  </si>
  <si>
    <t>KKH1630 .D675 2016eb</t>
  </si>
  <si>
    <t>Lawyers--Italy.</t>
  </si>
  <si>
    <t>Dosi, Gianfranco.</t>
  </si>
  <si>
    <t>The Holocaust, Israel and the 'Jew'</t>
  </si>
  <si>
    <t>Histories of Antisemitism in Postwar Dutch Society</t>
  </si>
  <si>
    <t>DS146.E85 .H65 2017eb</t>
  </si>
  <si>
    <t>Antisemitism--Netherlands--20th century.,Antisemitism--Netherlands--21st century.</t>
  </si>
  <si>
    <t>Ensel, Remco-Gans, Evelien</t>
  </si>
  <si>
    <t>NIOD Studies on War, Holocaust and Genocide</t>
  </si>
  <si>
    <t>Understanding China Politics</t>
  </si>
  <si>
    <t>The Key Words Approach</t>
  </si>
  <si>
    <t>DS779.46 .U53 2017</t>
  </si>
  <si>
    <t>Jing, Yuejin-Zhang, Xiaojin-Yu, Xunda-Han, Shuangmiao-Wu, Jiang</t>
  </si>
  <si>
    <t>Changing Times and Media Transformations - The Case of Ta Kung Pao 1902-1966</t>
  </si>
  <si>
    <t>PN5364</t>
  </si>
  <si>
    <t>Chinese newspapers--History--20th century.,Government and the press--China--History--20th century.</t>
  </si>
  <si>
    <t>Xinchun, Rong.</t>
  </si>
  <si>
    <t>The Media in China Series</t>
  </si>
  <si>
    <t>Advances in Neurochemistry Research</t>
  </si>
  <si>
    <t>SCIENCE / Life Sciences / Human Anatomy &amp; Physiology</t>
  </si>
  <si>
    <t>QP356.3</t>
  </si>
  <si>
    <t>Neurochemistry--Research.</t>
  </si>
  <si>
    <t>Thompson, Lola</t>
  </si>
  <si>
    <t>Progesterone</t>
  </si>
  <si>
    <t>Functions, Uses and Research Insights</t>
  </si>
  <si>
    <t>QP572.P7</t>
  </si>
  <si>
    <t>Progesterone.</t>
  </si>
  <si>
    <t>Rivera, Catherine</t>
  </si>
  <si>
    <t>Endocrinology Research and Clinical Developments</t>
  </si>
  <si>
    <t>Mesenchymal Stromal Cells (MSCs)</t>
  </si>
  <si>
    <t>Biology, Mechanisms of Action and Clinical Uses</t>
  </si>
  <si>
    <t>QH588.S83 M47 2017</t>
  </si>
  <si>
    <t>Mesenchymal stem cells.</t>
  </si>
  <si>
    <t>Morrison, Randy</t>
  </si>
  <si>
    <t>Stem Cells--laboratory and Clinical Research Series</t>
  </si>
  <si>
    <t>UtvaÌˆrdering av Nordjobb</t>
  </si>
  <si>
    <t>Nordens arbetsutbytesprogram foÌˆr unga</t>
  </si>
  <si>
    <t>Nordic Council of Ministers</t>
  </si>
  <si>
    <t>HD7790</t>
  </si>
  <si>
    <t>Exchange of persons programs--Scandinavia.,Labor market--Scandinavia.</t>
  </si>
  <si>
    <t>Olsson, August-Kullander, Mats</t>
  </si>
  <si>
    <t>TemaNord</t>
  </si>
  <si>
    <t>Beta-glucans: Applications, Effects and Research</t>
  </si>
  <si>
    <t>QP702.P6</t>
  </si>
  <si>
    <t>Glucans.,Glucans--Health aspects.,Polysaccharides.</t>
  </si>
  <si>
    <t>Coleman, Martha</t>
  </si>
  <si>
    <t>Chemistry Research and Applications Series</t>
  </si>
  <si>
    <t>Laccase: Applications, Investigations and Insights</t>
  </si>
  <si>
    <t>QK898.L23</t>
  </si>
  <si>
    <t>Laccase.</t>
  </si>
  <si>
    <t>Author Unknown</t>
  </si>
  <si>
    <t>Biochemistry Research Trends</t>
  </si>
  <si>
    <t>Changes in the Environment</t>
  </si>
  <si>
    <t>Implications on Vegetation</t>
  </si>
  <si>
    <t>SCIENCE / Life Sciences / Botany</t>
  </si>
  <si>
    <t>QK754.5</t>
  </si>
  <si>
    <t>Plants--Effect of global warming on.,Plants--Effect of pollution on.,Vegetation and climate.</t>
  </si>
  <si>
    <t>Dhir, Bhupinder</t>
  </si>
  <si>
    <t>Lipid Peroxidation</t>
  </si>
  <si>
    <t>Inhibition, Effects, and Mechanisms</t>
  </si>
  <si>
    <t>QP751</t>
  </si>
  <si>
    <t>Lipids--Oxidation.,Lipids--Peroxidation.</t>
  </si>
  <si>
    <t>CatalaÌ, Angel</t>
  </si>
  <si>
    <t>Marshy Salt-soil Improvement and Development</t>
  </si>
  <si>
    <t>QH541.5.S24 M37 2017</t>
  </si>
  <si>
    <t>Aquacultural biotechnology.,Salt marsh ecology.,Salt marshes.,Soil conservation.,Soil stabilization.</t>
  </si>
  <si>
    <t>Shao, Hong-Bo</t>
  </si>
  <si>
    <t>BSAVA Manual of Practical Animal Care</t>
  </si>
  <si>
    <t>Editors Paula Hotston Moore and Alan Hughes</t>
  </si>
  <si>
    <t>SF748 .B732 2017</t>
  </si>
  <si>
    <t>Veterinary medicine--Handbooks, manuals, etc.</t>
  </si>
  <si>
    <t>Hotston-Moore, Paula-British Small Animal Veterinary Association.-Hughes, Alan</t>
  </si>
  <si>
    <t>BSAVA Manuals Series</t>
  </si>
  <si>
    <t>Research Methods in Language Acquisition</t>
  </si>
  <si>
    <t>Principles, Procedures, and Practices</t>
  </si>
  <si>
    <t>P118.15 .B58 2017eb</t>
  </si>
  <si>
    <t>Children--Language--Psychological aspects.,Language acquisition--Psychological aspects--Research.,Language acquisition--Research--Data processing.,Language acquisition--Research--Methodology.,Language and languages--Age differences.,Psycholinguistics.,Speech acts (Linguistics)--Research.</t>
  </si>
  <si>
    <t>Blume, MariÌa-Lust, Barbara</t>
  </si>
  <si>
    <t>Language and the Human Lifespan Series</t>
  </si>
  <si>
    <t>ID- og grÃ¦nsekontroller i Norden</t>
  </si>
  <si>
    <t>Effekter af ID- og grÃ¦nsekontroller i Norden sommer og efteraÌŠr 2016</t>
  </si>
  <si>
    <t>K3275 .I364 2016eb</t>
  </si>
  <si>
    <t>Andresen, Britt.-Palmehag, Anna.-Wessman, Johan.</t>
  </si>
  <si>
    <t>Jew</t>
  </si>
  <si>
    <t>DS143</t>
  </si>
  <si>
    <t>Antisemitism.,Jews--Identity.</t>
  </si>
  <si>
    <t>Baker, Cynthia M.</t>
  </si>
  <si>
    <t>Key Words in Jewish Studies</t>
  </si>
  <si>
    <t>Irish-American Autobiography</t>
  </si>
  <si>
    <t>E184</t>
  </si>
  <si>
    <t>American prose literature--Irish American authors--History and criticism.,Autobiography--Irish American authors.,Irish Americans--Biography--History and criticism.,Irish Americans--Ethnic identity.</t>
  </si>
  <si>
    <t>Rogers, James Silas.</t>
  </si>
  <si>
    <t>Georg Simmel and the Disciplinary Imaginary</t>
  </si>
  <si>
    <t>B3329.S64</t>
  </si>
  <si>
    <t>Money--Philosophy.,Philosophy and social sciences.,Philosophy, Modern--20th century.,Social sciences--Philosophy.</t>
  </si>
  <si>
    <t>Goodstein, Elizabeth S.</t>
  </si>
  <si>
    <t>New Perspectives in Climate Change</t>
  </si>
  <si>
    <t>QC981.8.G56 E44 2015eb</t>
  </si>
  <si>
    <t>Climatic changes.</t>
  </si>
  <si>
    <t>Emerald Group Publishing Limited.</t>
  </si>
  <si>
    <t>Built Environment and Property Management</t>
  </si>
  <si>
    <t>A Focus on China and Hong Kong</t>
  </si>
  <si>
    <t>TECHNOLOGY &amp; ENGINEERING / Construction / General</t>
  </si>
  <si>
    <t>HD1394.5.C6 B85 2015eb</t>
  </si>
  <si>
    <t>Real estate management--China.</t>
  </si>
  <si>
    <t>Emerald Group Publishing</t>
  </si>
  <si>
    <t>A Focus on Australia</t>
  </si>
  <si>
    <t>HD9715.A82</t>
  </si>
  <si>
    <t>Construction industry--Australia.</t>
  </si>
  <si>
    <t>Learning for the Long Run</t>
  </si>
  <si>
    <t>7 Practices for Sustaining a Resilient Learning Organization</t>
  </si>
  <si>
    <t>Knowledge management.,Organizational learning.</t>
  </si>
  <si>
    <t>Burkett, Holly</t>
  </si>
  <si>
    <t>Astronomy and Astrology in the Islamic World</t>
  </si>
  <si>
    <t>SCIENCE / Astronomy</t>
  </si>
  <si>
    <t>QB23 .B59 2016eb</t>
  </si>
  <si>
    <t>Islamic astrology--History.,Islamic astronomy--History.</t>
  </si>
  <si>
    <t>Blake, Stephen P.</t>
  </si>
  <si>
    <t>The New Edinburgh Islamic Surveys</t>
  </si>
  <si>
    <t>The New Russian Nationalism</t>
  </si>
  <si>
    <t>Imperialism, Ethnicity and Authoritarianism 2000-2015</t>
  </si>
  <si>
    <t>DK510.23 .K65 2016eb</t>
  </si>
  <si>
    <t>Nationalism--Former Soviet republics.,Nationalism--Russia (Federation)</t>
  </si>
  <si>
    <t>KolstÃ¸, PaÌŠl-Blakkisrud, Helge</t>
  </si>
  <si>
    <t>Elements of Formal Semantics</t>
  </si>
  <si>
    <t>An Introduction to the Mathematical Theory of Meaning in Natural Language</t>
  </si>
  <si>
    <t>P325</t>
  </si>
  <si>
    <t>Semantics.</t>
  </si>
  <si>
    <t>Winter, Yoad.-Ackema, Peter.-Ota, Mitsuhiko.</t>
  </si>
  <si>
    <t>Edinburgh Advanced Textbooks in Linguistics</t>
  </si>
  <si>
    <t>Leadership</t>
  </si>
  <si>
    <t>Learning, Teaching, and Practice</t>
  </si>
  <si>
    <t>LB2805 .L3394 2016</t>
  </si>
  <si>
    <t>Educational leadership--United States.,School management and organization--United States.</t>
  </si>
  <si>
    <t>CypreÌ€s, Autumn Tooms</t>
  </si>
  <si>
    <t>Leaders, Schools, and Change</t>
  </si>
  <si>
    <t>Creativity and Spirituality</t>
  </si>
  <si>
    <t>A Multidisciplinary Perspective</t>
  </si>
  <si>
    <t>BF408</t>
  </si>
  <si>
    <t>Creative ability.,Spirituality.</t>
  </si>
  <si>
    <t>Miner, Maureen</t>
  </si>
  <si>
    <t>New Perspectives in Policing</t>
  </si>
  <si>
    <t>Stress, Public Perception and Leadership</t>
  </si>
  <si>
    <t>POLITICAL SCIENCE / Public Policy / General</t>
  </si>
  <si>
    <t>HV7899 .N49 2015eb</t>
  </si>
  <si>
    <t>Police.</t>
  </si>
  <si>
    <t>New Perspectives in Marketing by Word-of-Mouth</t>
  </si>
  <si>
    <t>HF5827.95</t>
  </si>
  <si>
    <t>Word-of-mouth advertising.</t>
  </si>
  <si>
    <t>New Perspectives in Luxury Branding</t>
  </si>
  <si>
    <t>HD69.B7 N419 2015eb</t>
  </si>
  <si>
    <t>Brand name products.,Luxuries--Marketing.</t>
  </si>
  <si>
    <t>New Perspectives in Hospitality Management</t>
  </si>
  <si>
    <t>BUSINESS &amp; ECONOMICS / Industries / Hospitality, Travel &amp; Tourism</t>
  </si>
  <si>
    <t>TX911.3.M27 N49 2015eb</t>
  </si>
  <si>
    <t>Hospitality industry--Management.,Hospitality industry--Marketing.,Hospitality industry--Personnel management.</t>
  </si>
  <si>
    <t>New Perspectives in Healthcare</t>
  </si>
  <si>
    <t>Impacts of Regulation, Organization, Reform and Change in the United States Health System</t>
  </si>
  <si>
    <t>MEDICAL / Hospital Administration &amp; Care</t>
  </si>
  <si>
    <t>RA395.A3 N49 2015eb</t>
  </si>
  <si>
    <t>Health care reform--United States.,Health planning--United States.,Medical policy--United States.</t>
  </si>
  <si>
    <t>New Perspectives in Global Environmental Disasters</t>
  </si>
  <si>
    <t>SOCIAL SCIENCE / Disasters &amp; Disaster Relief</t>
  </si>
  <si>
    <t>HV553</t>
  </si>
  <si>
    <t>Environmental law.,Natural disasters.</t>
  </si>
  <si>
    <t>New Perspectives in Employee Engagement in Human Resources</t>
  </si>
  <si>
    <t>PSYCHOLOGY / Industrial &amp; Organizational Psychology</t>
  </si>
  <si>
    <t>HF5549.5.M63</t>
  </si>
  <si>
    <t>Employee motivation.</t>
  </si>
  <si>
    <t>New Perspectives in Economics</t>
  </si>
  <si>
    <t>A United States Focus</t>
  </si>
  <si>
    <t>HC106.84</t>
  </si>
  <si>
    <t>Research From Developing Countries</t>
  </si>
  <si>
    <t>BUSINESS &amp; ECONOMICS / Development / Economic Development</t>
  </si>
  <si>
    <t>HC59.7</t>
  </si>
  <si>
    <t>New Perspectives in Accounting Ethics</t>
  </si>
  <si>
    <t>BUSINESS &amp; ECONOMICS / Accounting / General</t>
  </si>
  <si>
    <t>HF5625.15 .N53 2015eb</t>
  </si>
  <si>
    <t>Accounting--Moral and ethical aspects.</t>
  </si>
  <si>
    <t>A Focus on Sustainable Supply Chains and Green Logistics</t>
  </si>
  <si>
    <t>BUSINESS &amp; ECONOMICS / Production &amp; Operations Management</t>
  </si>
  <si>
    <t>HD38.5 F638 2015eb</t>
  </si>
  <si>
    <t>Business logistics--Environmental aspects.,Sustainable development.</t>
  </si>
  <si>
    <t>A Focus on SLM and SLS Methods in 3D Printing</t>
  </si>
  <si>
    <t>TECHNOLOGY &amp; ENGINEERING / Materials Science / General</t>
  </si>
  <si>
    <t>TS171.95</t>
  </si>
  <si>
    <t>Lasers--Industrial applications.,Three-dimensional printing.</t>
  </si>
  <si>
    <t>A Focus on 3D Printing for Healthcare Applications</t>
  </si>
  <si>
    <t>R855.3 .F63 2015eb</t>
  </si>
  <si>
    <t>Medical technology.,Three-dimensional printing.</t>
  </si>
  <si>
    <t>The Crisis of Race in Higher Education</t>
  </si>
  <si>
    <t>A Day of Discovery and Dialogue</t>
  </si>
  <si>
    <t>EDUCATION / Adult &amp; Continuing Education</t>
  </si>
  <si>
    <t>LC3731 .C75 2017</t>
  </si>
  <si>
    <t>Minorities--Education (Higher)--United States--Congresses.</t>
  </si>
  <si>
    <t>Tate, William F.-Staudt, Nancy-Macrander, Ashley</t>
  </si>
  <si>
    <t>Diversity in Higher Education</t>
  </si>
  <si>
    <t>Biomonitoring of Air Pollution Using Mosses and Lichens</t>
  </si>
  <si>
    <t>A Passive and Active Approach: State of the Art Research and Perspectives</t>
  </si>
  <si>
    <t>TD890</t>
  </si>
  <si>
    <t>Air--Pollution--Measurement.,Environmental monitoring.,Lichens--Effect of air pollution on.,Mosses--Effect of air pollution on.,Plants--Effect of air pollution on.</t>
  </si>
  <si>
    <t>UrosÌŒevicÌ, Mira AnicÌŒicÌ-VukovicÌ, Gordana-TomasÌŒevicÌ, Milica</t>
  </si>
  <si>
    <t>Air, Water and Soil Pollution Science and Technology Series</t>
  </si>
  <si>
    <t>YEAR AT HARTLEBURY, OR, THE ELECTION</t>
  </si>
  <si>
    <t>PR4084</t>
  </si>
  <si>
    <t>English fiction.</t>
  </si>
  <si>
    <t>DISRAELI, BENJAMIN-DISRAELI, SARAH.</t>
  </si>
  <si>
    <t>Thomas De Quincey, the Prose of Vision</t>
  </si>
  <si>
    <t>PR4537 .D4</t>
  </si>
  <si>
    <t>De Luca, V. A.</t>
  </si>
  <si>
    <t>COLLECTED POEMS</t>
  </si>
  <si>
    <t>PR4518</t>
  </si>
  <si>
    <t>CRAWFORD, ISABELLA VALANCY-REANEY, JAMES-LOCHHEA.</t>
  </si>
  <si>
    <t>BROWNING'S LYRICS</t>
  </si>
  <si>
    <t>PR4238</t>
  </si>
  <si>
    <t>Dramatic monologues--History and criticism.</t>
  </si>
  <si>
    <t>COOK, ELEANOR.</t>
  </si>
  <si>
    <t>Experience Into Thought</t>
  </si>
  <si>
    <t>Perspectives in the Coleridge Notebooks</t>
  </si>
  <si>
    <t>PR4483.A393 C58</t>
  </si>
  <si>
    <t>Coburn, Kathleen.</t>
  </si>
  <si>
    <t>The Alexander Lectures</t>
  </si>
  <si>
    <t>Inquiring Spirit</t>
  </si>
  <si>
    <t>A New Presentation of Coleridge From His Published and Unpublished Prose Writings</t>
  </si>
  <si>
    <t>PR4472 .C6 1979b</t>
  </si>
  <si>
    <t>Coleridge, Samuel Taylor-Coburn, Kathleen.</t>
  </si>
  <si>
    <t>The Virtues Reconciled</t>
  </si>
  <si>
    <t>An Iconographic Study</t>
  </si>
  <si>
    <t>PR429.V5 C54 1947</t>
  </si>
  <si>
    <t>English literature--18th century--History and criticism.,English literature--Early modern, 1500-1700--History and criticism.,Virtues in art.,Virtues in literature.</t>
  </si>
  <si>
    <t>Chew, Samuel Claggett</t>
  </si>
  <si>
    <t>Colluding, Colliding, and Contending with Norms of Whiteness</t>
  </si>
  <si>
    <t>HM676 .C43 2017eb</t>
  </si>
  <si>
    <t>Mothers--United States.,Racism--Social aspects.,Social norms.</t>
  </si>
  <si>
    <t>Chandler, Jennifer L. S.</t>
  </si>
  <si>
    <t>Urban Education Studies Series</t>
  </si>
  <si>
    <t>A Reader of Narrative and Critical Lenses on Intercultural Teaching and Learning</t>
  </si>
  <si>
    <t>LB1707 .R425 2017</t>
  </si>
  <si>
    <t>Multicultural education.,Teachers--Training of.</t>
  </si>
  <si>
    <t>Schlein, Candace-Garii, Barbara</t>
  </si>
  <si>
    <t>Research for Social Justice, Personal, Passionate, Participatory Inquiry</t>
  </si>
  <si>
    <t>The Poetry of Weldon Kees</t>
  </si>
  <si>
    <t>Vanishing As Presence</t>
  </si>
  <si>
    <t>Johns Hopkins University Press</t>
  </si>
  <si>
    <t>PS3521.E285 Z77 2017</t>
  </si>
  <si>
    <t>Artists--United States--Biography.,Authors, American--20th century--Biography.</t>
  </si>
  <si>
    <t>Irwin, John T.</t>
  </si>
  <si>
    <t>Universities and Their Cities</t>
  </si>
  <si>
    <t>Urban Higher Education in America</t>
  </si>
  <si>
    <t>LB2328.42.U6 D56 2017eb</t>
  </si>
  <si>
    <t>Community and college--United States.,Education, Higher--Social aspects--United States.,Education, Urban--United States--History.,Urban universities and colleges--United States--History.</t>
  </si>
  <si>
    <t>Diner, Steven J.</t>
  </si>
  <si>
    <t>Internationalizing Teaching and Teacher Education for Equity Engaging Alternative Knowledges Across Ideological Borders</t>
  </si>
  <si>
    <t>LB1707</t>
  </si>
  <si>
    <t>Rahatzad, Jubin.</t>
  </si>
  <si>
    <t>Research for Social Justice: Personal Passionate Participatory Inquiry</t>
  </si>
  <si>
    <t>Case Studies in Applied Behavior Analysis for Students and Adults with Disabilities</t>
  </si>
  <si>
    <t>LC4031 .S845 2017eb</t>
  </si>
  <si>
    <t>Behavioral assessment--United States--Case studies.,People with disabilities--United States--Case studies.,Students with disabilities--United States--Case studies.</t>
  </si>
  <si>
    <t>Storey, Keith-Haymes, Linda</t>
  </si>
  <si>
    <t>Circuits of Faith</t>
  </si>
  <si>
    <t>Migration, Education, and the Wahhabi Mission</t>
  </si>
  <si>
    <t>SOCIAL SCIENCE / Islamic Studies</t>
  </si>
  <si>
    <t>LG359.M47</t>
  </si>
  <si>
    <t>Islam and state--Saudi Arabia.,Islamic fundamentalism.,Islamic religious education--Saudi Arabia.,Transnationalism.,WahhaÂ¯biÂ¯yah--Saudi Arabia--Influence.</t>
  </si>
  <si>
    <t>Farquhar, Michael</t>
  </si>
  <si>
    <t>An Intellectual Biography of N.A. Rozhkov</t>
  </si>
  <si>
    <t>Life in a Bell Jar</t>
  </si>
  <si>
    <t>DK38.7.R68 G66 2017eb</t>
  </si>
  <si>
    <t>Historians--Russia--Biography.,Historians--Soviet Union--Biography.</t>
  </si>
  <si>
    <t>GonzaÌlez, John</t>
  </si>
  <si>
    <t>Russian History and Culture</t>
  </si>
  <si>
    <t>The Chinese Christology of T.C. Chao</t>
  </si>
  <si>
    <t>RELIGION / Christian Theology / Christology</t>
  </si>
  <si>
    <t>BT198</t>
  </si>
  <si>
    <t>Theology, Doctrinal--China--History--20th century.</t>
  </si>
  <si>
    <t>Chen, Yongtao</t>
  </si>
  <si>
    <t>Theology and Mission in World Christianity</t>
  </si>
  <si>
    <t>A Matter of Intelligence</t>
  </si>
  <si>
    <t>MI5 and the Surveillance of Anti-Nazi Refugees, 1933-50</t>
  </si>
  <si>
    <t>POLITICAL SCIENCE / Intelligence &amp; Espionage</t>
  </si>
  <si>
    <t>JN329.I6 B756 2014</t>
  </si>
  <si>
    <t>Austrians--Great Britain--History--20th century.,Germans--Great Britain--History--20th century.,Intelligence service--Great Britain--History--20th century.,Political refugees--Great Britain--History--20th century.,World War, 1939-1945--Refugees--Great Britain.</t>
  </si>
  <si>
    <t>Brinson, Charmian</t>
  </si>
  <si>
    <t>Meltzer in Venice</t>
  </si>
  <si>
    <t>Seminars with the Racker Group of Venice</t>
  </si>
  <si>
    <t>BF173 .L3813 2017eb</t>
  </si>
  <si>
    <t>Child analysis.,Psychoanalysis.</t>
  </si>
  <si>
    <t>MaÌrquez, Hugo-Harris Meltzer Trust-Petrilli, Maria Elena-Postacioglu, Sema-Rossetti, Mauro</t>
  </si>
  <si>
    <t>Working with Meltzer Series</t>
  </si>
  <si>
    <t>Music Therapy with Families</t>
  </si>
  <si>
    <t>Therapeutic Approaches and Theoretical Perspectives</t>
  </si>
  <si>
    <t>Jessica Kingsley Publishers</t>
  </si>
  <si>
    <t>PSYCHOLOGY / Psychotherapy / General</t>
  </si>
  <si>
    <t>ML3920 .M89968 2017eb</t>
  </si>
  <si>
    <t>Music therapy for families.</t>
  </si>
  <si>
    <t>Jacobsen, Stine Lindahl-Thompson, Grace</t>
  </si>
  <si>
    <t>The Fundamentals of Acupuncture</t>
  </si>
  <si>
    <t>Singing Dragon</t>
  </si>
  <si>
    <t>MEDICAL / Acupuncture</t>
  </si>
  <si>
    <t>RM184.5 .C45 2017</t>
  </si>
  <si>
    <t>Acupuncture points.,Acupuncture.,Medicine, Chinese.</t>
  </si>
  <si>
    <t>Ching, Nigel</t>
  </si>
  <si>
    <t>The Post-Soviet Handbook</t>
  </si>
  <si>
    <t>A Guide to Grassroots Organizations and Internet Resources</t>
  </si>
  <si>
    <t>HS71.F6 P67 1999</t>
  </si>
  <si>
    <t>Associations, institutions, etc--Former Soviet republics--Directories.,Economic assistance--Former Soviet republics--Directories.,Internet addresses--Former Soviet republics--Directories.,Pressure groups--Former Soviet republics--Directories.</t>
  </si>
  <si>
    <t>Ruffin, M. Holt.-Center for Civil Society International.</t>
  </si>
  <si>
    <t>Beautiful Deceptions</t>
  </si>
  <si>
    <t>European Aesthetics, the Early American Novel, and Illusionist Art</t>
  </si>
  <si>
    <t>University of Virginia Press</t>
  </si>
  <si>
    <t>N6507</t>
  </si>
  <si>
    <t>American literature--Colonial period, ca. 1600-1775--History and criticism.,Art, American--18th century.,Art, Modern--18th century--History.,Deception in literature.,Deception--In art.,Hallucinations and illusions in art.,Illusion in literature.</t>
  </si>
  <si>
    <t>Schweighauser, Philipp</t>
  </si>
  <si>
    <t>American Imperialism's Undead</t>
  </si>
  <si>
    <t>The Occupation of Haiti and the Rise of Caribbean Anticolonialism</t>
  </si>
  <si>
    <t>LITERARY CRITICISM / Caribbean &amp; Latin American</t>
  </si>
  <si>
    <t>PN849.C3 D34 2016eb</t>
  </si>
  <si>
    <t>Caribbean literature--20th century--History and criticism.,Haitian literature--20th century--History and criticism.,Imperialism in literature.</t>
  </si>
  <si>
    <t>Dalleo, Raphael</t>
  </si>
  <si>
    <t>New World Studies</t>
  </si>
  <si>
    <t>Settler Jamaica in the 1750s</t>
  </si>
  <si>
    <t>A Social Portrait</t>
  </si>
  <si>
    <t>HN223</t>
  </si>
  <si>
    <t>Greene, Jack P.</t>
  </si>
  <si>
    <t>Early American Histories</t>
  </si>
  <si>
    <t>Margaret Garner</t>
  </si>
  <si>
    <t>The Premiere Performances of Toni Morrison's Libretto</t>
  </si>
  <si>
    <t>ML2110 .R3 2016eb</t>
  </si>
  <si>
    <t>Libretto.,Music and literature.</t>
  </si>
  <si>
    <t>Jennings, La Vinia Delois</t>
  </si>
  <si>
    <t>Supervising the School Psychology Practicum</t>
  </si>
  <si>
    <t>A Guide for Field and University Supervisors</t>
  </si>
  <si>
    <t>PSYCHOLOGY / Education &amp; Training</t>
  </si>
  <si>
    <t>LB3013.6 .K45 2017eb</t>
  </si>
  <si>
    <t>School psychologists--In-service training.,School psychologists--Supervision of.,School psychologists--Training of.,School psychology--Study and teaching.</t>
  </si>
  <si>
    <t>Kelly, Kristy K.</t>
  </si>
  <si>
    <t>The Executioner's Journal</t>
  </si>
  <si>
    <t>Meister Frantz Schmidt of the Imperial City of Nuremberg</t>
  </si>
  <si>
    <t>HV8551</t>
  </si>
  <si>
    <t>Crime--Germany--Nuremberg--History.,Criminal procedure--Germany--Nuremberg--History.,Executions and executioners--Germany--Nuremberg--Biography.</t>
  </si>
  <si>
    <t>Harrington, Joel F.</t>
  </si>
  <si>
    <t>Studies in Early Modern German History</t>
  </si>
  <si>
    <t>The Silent Morning</t>
  </si>
  <si>
    <t>Culture and Memory After the Armistice</t>
  </si>
  <si>
    <t>D641 .S556 2013</t>
  </si>
  <si>
    <t>World War, 1914-1918--Armistices--Social aspects.</t>
  </si>
  <si>
    <t>Kennedy, Kate-Tate, Trudi</t>
  </si>
  <si>
    <t>Cultural History of Modern War</t>
  </si>
  <si>
    <t>Generation Y</t>
  </si>
  <si>
    <t>Wie eine kreative Generation heute Grenzen verschiebt</t>
  </si>
  <si>
    <t>HF5549</t>
  </si>
  <si>
    <t>Personnel management.</t>
  </si>
  <si>
    <t>GlobArt.</t>
  </si>
  <si>
    <t>GLOBArt</t>
  </si>
  <si>
    <t>Commento agli "Epigrammata Bobiensia"</t>
  </si>
  <si>
    <t>Francesca Romana Nocchi</t>
  </si>
  <si>
    <t>Texte und Kommentare</t>
  </si>
  <si>
    <t>Fantastic voyage</t>
  </si>
  <si>
    <t>attraverso la specialitaÌ€ del diritto penale; una versione provvisoria per gli studenti</t>
  </si>
  <si>
    <t>Criminal law--Italy.</t>
  </si>
  <si>
    <t>PAPA, MICHELE</t>
  </si>
  <si>
    <t>Orientierung im Nihilismus â€“ Luhmann meets Nietzsche</t>
  </si>
  <si>
    <t>HM701 .S74 2016</t>
  </si>
  <si>
    <t>Philosophy--History.,Social systems--History.,Sociology--Philosophy--History.</t>
  </si>
  <si>
    <t>Stegmaier, Werner</t>
  </si>
  <si>
    <t>HS71.F6 R84 1996</t>
  </si>
  <si>
    <t>Associations, institutions, etc.--Former Soviet republics--Directories.,Internet addresses--Former Soviet republics--Directories.,Pressure groups--Former Soviet republics--Directories.</t>
  </si>
  <si>
    <t>Ruffin, M. Holt-McCarter, Joan.-Upjohn, Richard.</t>
  </si>
  <si>
    <t>Phil Weyerhaeuser</t>
  </si>
  <si>
    <t>Lumberman</t>
  </si>
  <si>
    <t>HD9760.W49 T85 1985eb</t>
  </si>
  <si>
    <t>Businesspeople--United States--Biography.,Forest products industry--United States--History.</t>
  </si>
  <si>
    <t>Twining, Charles E.</t>
  </si>
  <si>
    <t>Advertising, Communications and Copyright</t>
  </si>
  <si>
    <t>Australian Copyright Council</t>
  </si>
  <si>
    <t>Fiona Phillips, Naomi Messenger</t>
  </si>
  <si>
    <t>Working with Copyright, Getting It Right</t>
  </si>
  <si>
    <t>James Cheatley</t>
  </si>
  <si>
    <t>Rural Development in Eurasia and the Middle East</t>
  </si>
  <si>
    <t>Land Reform, Demographic Change, and Environmental Constraints</t>
  </si>
  <si>
    <t>HN49.C6 R87526 2001eb</t>
  </si>
  <si>
    <t>Rural development--Africa, North.,Rural development--Asia, Central.,Rural development--Case studies.,Rural development--Middle East.,Rural development--Russia (Federation)</t>
  </si>
  <si>
    <t>Engelmann, Kurt.-Henry M. Jackson School of International Studies.-PavlakovicÌ, Vjeran.</t>
  </si>
  <si>
    <t>Global Connectivity and Local Transformation</t>
  </si>
  <si>
    <t>A Micro Approach to Studying the Effect of Globalization on Shanghai</t>
  </si>
  <si>
    <t>University Press of America</t>
  </si>
  <si>
    <t>UPA</t>
  </si>
  <si>
    <t>HN740.S484 S86 2008eb</t>
  </si>
  <si>
    <t>Globalization--China--Shanghai.</t>
  </si>
  <si>
    <t>Sun, Jiaming.</t>
  </si>
  <si>
    <t>Higher Education Rulemaking</t>
  </si>
  <si>
    <t>The Politics of Creating Regulatory Policy</t>
  </si>
  <si>
    <t>KF4225</t>
  </si>
  <si>
    <t>Administrative regulation drafting--United States.,Education, Higher--Law and legislation--United States.,Higher education and state--United States.</t>
  </si>
  <si>
    <t>Natow, Rebecca S.</t>
  </si>
  <si>
    <t>Liber epigrammatum</t>
  </si>
  <si>
    <t>RELIGION / Christian Theology / General</t>
  </si>
  <si>
    <t>lat</t>
  </si>
  <si>
    <t>Prosper Aquitanus-Albertus G. A. Horsting</t>
  </si>
  <si>
    <t>Corpus Scriptorum Ecclesiasticorum Latinorum</t>
  </si>
  <si>
    <t>From Child Art to Visual Language of Youth</t>
  </si>
  <si>
    <t>New Models and Tools for Assessment of Learning and Creation in Art Education</t>
  </si>
  <si>
    <t>Andrea KÃ¡rpÃ¡ti-Emil Gaul</t>
  </si>
  <si>
    <t>Martha Graham</t>
  </si>
  <si>
    <t>Gender &amp; the Haunting of a Dance Pioneer</t>
  </si>
  <si>
    <t>TECHNOLOGY &amp; ENGINEERING / Power Resources / General</t>
  </si>
  <si>
    <t>Victoria Thoms</t>
  </si>
  <si>
    <t>Temporary Stages II</t>
  </si>
  <si>
    <t>Critically Oriented Drama Education</t>
  </si>
  <si>
    <t>Jo Beth Gonzalez</t>
  </si>
  <si>
    <t>Manifesto Now!</t>
  </si>
  <si>
    <t>Instructions for Performance, Philosophy, Politics</t>
  </si>
  <si>
    <t>POLITICAL SCIENCE / Public Policy / Science &amp; Technology Policy</t>
  </si>
  <si>
    <t>Laura Cull-Will Daddario</t>
  </si>
  <si>
    <t>Modern Argentine Masculinities</t>
  </si>
  <si>
    <t>Carolina Rocha</t>
  </si>
  <si>
    <t>TV Format Mogul</t>
  </si>
  <si>
    <t>Reg Grundyâ€™s Transnational Career</t>
  </si>
  <si>
    <t>Albert Moran</t>
  </si>
  <si>
    <t>Zombies in the Academy</t>
  </si>
  <si>
    <t>Living Death in Higher Education</t>
  </si>
  <si>
    <t>Andrew Whelan-Ruth Walker-Christopher Moore</t>
  </si>
  <si>
    <t>Gavin Bolton's Contextual Drama</t>
  </si>
  <si>
    <t>The Road Less Travelled</t>
  </si>
  <si>
    <t>Margaret R Burke</t>
  </si>
  <si>
    <t>Berlin School Glossary</t>
  </si>
  <si>
    <t>An ABC of the New Wave in German Cinema</t>
  </si>
  <si>
    <t>Roger F Cook-Lutz Koepnick-Kristin Kopp</t>
  </si>
  <si>
    <t>The Dry Years</t>
  </si>
  <si>
    <t>Prohibition and Social Change in Washington</t>
  </si>
  <si>
    <t>HISTORY / United States / State &amp; Local / Pacific Northwest (OR, WA)</t>
  </si>
  <si>
    <t>HV5090.W2 C58 1988eb</t>
  </si>
  <si>
    <t>Prohibition--Washington (State)--History--20th century.</t>
  </si>
  <si>
    <t>Clark, Norman H.</t>
  </si>
  <si>
    <t>The Handbook of Medicinal Chemistry</t>
  </si>
  <si>
    <t>Royal Society of Chemistry</t>
  </si>
  <si>
    <t>Davis, Andrew-Ward, Simon E</t>
  </si>
  <si>
    <t>Dealing Crack</t>
  </si>
  <si>
    <t>The Social World of Streetcorner Selling</t>
  </si>
  <si>
    <t>Northeastern</t>
  </si>
  <si>
    <t>HV5825</t>
  </si>
  <si>
    <t>Cocaine abuse--United States.,Crack (Drug)--United States.,Drug abuse--United States.,Drug dealers--United States.</t>
  </si>
  <si>
    <t>Jacobs, Bruce A.</t>
  </si>
  <si>
    <t>The Northeastern Series in Criminal Behavior</t>
  </si>
  <si>
    <t>Women Pioneers For The Environment</t>
  </si>
  <si>
    <t>GE55</t>
  </si>
  <si>
    <t>Green movement--History--19th century.,Green movement--History--20th century.,Women environmentalists--Biography.</t>
  </si>
  <si>
    <t>Breton, Mary Joy.</t>
  </si>
  <si>
    <t>Saving Bernice</t>
  </si>
  <si>
    <t>Battered Women, Welfare, and Poverty</t>
  </si>
  <si>
    <t>HV6626.2</t>
  </si>
  <si>
    <t>Abused women--United States.,Family violence--United States.,Public welfare--United States.,Welfare recipients--Abuse of--United States.</t>
  </si>
  <si>
    <t>Raphael, Jody</t>
  </si>
  <si>
    <t>The Northeastern Series on Gender, Crime, and Law</t>
  </si>
  <si>
    <t>The Science We Have Loved and Taught</t>
  </si>
  <si>
    <t>Dartmouth medical Schoolâ€™s First Two Centuries</t>
  </si>
  <si>
    <t>Geisel</t>
  </si>
  <si>
    <t>R747.D22 P88 2004</t>
  </si>
  <si>
    <t>Medical colleges--New Hampshire--History.,Medical education--New Hampshire--History.</t>
  </si>
  <si>
    <t>Putnam, Constance E.</t>
  </si>
  <si>
    <t>A History of the World in Sixteen Shipwrecks</t>
  </si>
  <si>
    <t>G525 .G65 2015</t>
  </si>
  <si>
    <t>Naval history.,Navigation--History.,Shipbuilding--History.,Shipwrecks--History.,World history.</t>
  </si>
  <si>
    <t>Gordon, Stewart</t>
  </si>
  <si>
    <t>The Kuhls of Kangra</t>
  </si>
  <si>
    <t>Community-Managed Irrigation in the Western Himalaya</t>
  </si>
  <si>
    <t>HD1289.I5 B35 2005eb</t>
  </si>
  <si>
    <t>Commons--India--K&amp;#x84--Oangra (District),Community development--India--K&amp;#x84--Oangra (District),Irrigation--India--K&amp;#x84--Oangra (District)--Management.,Land use, Rural--India--K&amp;#x84--Oangra (District)--Management.,Natural resources, Communal--India--K&amp;#x84--Oangra (District)--Management.</t>
  </si>
  <si>
    <t>Baker, Mark</t>
  </si>
  <si>
    <t>Culture, Place, and Nature</t>
  </si>
  <si>
    <t>Studies in the Eighteenth Century, III</t>
  </si>
  <si>
    <t>Papers Presented at the Third David Nichol Smith Memorial Seminar, Canberra, 1973</t>
  </si>
  <si>
    <t>PR442 .D3 1973eb</t>
  </si>
  <si>
    <t>Eighteenth century.,English literature--18th century--History and criticism.</t>
  </si>
  <si>
    <t>Brissenden, R. F.-Eade, J. C.</t>
  </si>
  <si>
    <t>Studies in the Eighteenth Century; II</t>
  </si>
  <si>
    <t>Papers Presented at the Second David Nichol Smith Memorial Seminar, Canberra, 1970</t>
  </si>
  <si>
    <t>PR442 .D3 1970eb</t>
  </si>
  <si>
    <t>Brissenden, R. F.</t>
  </si>
  <si>
    <t>Studies in the Eighteenth Century</t>
  </si>
  <si>
    <t>Papers Presented at the David Nichol Smith Memorial Seminar, Canberra. 1966</t>
  </si>
  <si>
    <t>PR442 .D3 1966eb</t>
  </si>
  <si>
    <t>English literature--18th century.</t>
  </si>
  <si>
    <t>Brissenden, R. F.-Australian National University.</t>
  </si>
  <si>
    <t>Inside Out</t>
  </si>
  <si>
    <t>The Social Meaning of Mental Retardation</t>
  </si>
  <si>
    <t>HV3004 .B63 1982eb</t>
  </si>
  <si>
    <t>Intellectual disability--Social aspects.,People with mental disabilities--Case studies.</t>
  </si>
  <si>
    <t>Bogdan, Robert.-Taylor, Steven J.</t>
  </si>
  <si>
    <t>The Early H.G. Wells</t>
  </si>
  <si>
    <t>A Study of the Scientific Romances</t>
  </si>
  <si>
    <t>PR5777</t>
  </si>
  <si>
    <t>Science fiction, English--History and criticism.</t>
  </si>
  <si>
    <t>Bergonzi, Bernard</t>
  </si>
  <si>
    <t>Milton and the Puritan Dilemma, 1641-1660</t>
  </si>
  <si>
    <t>RELIGION / Religion, Politics &amp; State</t>
  </si>
  <si>
    <t>PR3592.P7 B3 1976eb</t>
  </si>
  <si>
    <t>Barker, Arthur Edward</t>
  </si>
  <si>
    <t>University of Toronto. Dept. Of English. Studies and Texts</t>
  </si>
  <si>
    <t>Property Crime in Canada</t>
  </si>
  <si>
    <t>An Econometric Study</t>
  </si>
  <si>
    <t>HV6807 .A93 1976eb</t>
  </si>
  <si>
    <t>Offenses against property--Canada--Mathematical models.</t>
  </si>
  <si>
    <t>Avio, Kenneth L.-Clark, Cecil Scott</t>
  </si>
  <si>
    <t>Ontario Economic Council Research Studies</t>
  </si>
  <si>
    <t>Voters' Verdicts</t>
  </si>
  <si>
    <t>Citizens, Campaigns, and Institutions in State Supreme Court Elections</t>
  </si>
  <si>
    <t>KF8776 .B66 2015</t>
  </si>
  <si>
    <t>Courts of last resort--United States--States.,Courts of last resort--United States--States--Election.,Courts--United States--States--Election.,Elections.,Judges--United States--States--Election.,Voting--United States.</t>
  </si>
  <si>
    <t>Bonneau, Chris W.-Cann, Damon M.</t>
  </si>
  <si>
    <t>Constitutionalism and Democracy</t>
  </si>
  <si>
    <t>From the Local to the Global</t>
  </si>
  <si>
    <t>Key Issues in Development Studies</t>
  </si>
  <si>
    <t>HD82 .F766 2015eb</t>
  </si>
  <si>
    <t>Debts, External.,Development economics.,Economic assistance.,Economic development.</t>
  </si>
  <si>
    <t>McCann, Gerard-McCloskey, Stephen</t>
  </si>
  <si>
    <t>Northern Kentucky University</t>
  </si>
  <si>
    <t>A Panoramic History</t>
  </si>
  <si>
    <t>LD4011.N375 S37 2015eb</t>
  </si>
  <si>
    <t>Schiff, Thomas R.</t>
  </si>
  <si>
    <t>Children of Coyote, Missionaries of Saint Francis</t>
  </si>
  <si>
    <t>Indian-Spanish Relations in Colonial California, 1769-1850</t>
  </si>
  <si>
    <t>Omohundro Institute and University of North Carolina Press</t>
  </si>
  <si>
    <t>HISTORY / United States / State &amp; Local / West (AK, CA, CO, HI, ID, MT, NV, UT, WY)</t>
  </si>
  <si>
    <t>E78.C15 H23 2005eb</t>
  </si>
  <si>
    <t>Indians of North America--California--Monterey Peninsula--History.,Indians of North America--First contact with Europeans--California--Monterey Peninsula.,Indians of North America--Missions--California--Monterey Peninsula.</t>
  </si>
  <si>
    <t>Hackel, Steven W.-Omohundro Institute of Early American History &amp; Culture.</t>
  </si>
  <si>
    <t>Published by the Omohundro Institute of Early American History and Culture and the University of North Carolina Press</t>
  </si>
  <si>
    <t>Crane</t>
  </si>
  <si>
    <t>Sex, Celebrity, and My Father's Unsolved Murder</t>
  </si>
  <si>
    <t>BIOGRAPHY &amp; AUTOBIOGRAPHY / Rich &amp; Famous</t>
  </si>
  <si>
    <t>PN1992.4.C73 C736 2015eb</t>
  </si>
  <si>
    <t>Cold cases (Criminal investigation)--Arizona--Scottsdale.,Fame--Social aspects--California--Los Angeles.,Fathers and sons--United States--Biography.,Murder--Investigation--Arizona--Scottsdale.,Sex--Social aspects--California--Los Angeles.,Television actors and actresses--United States--Biography.</t>
  </si>
  <si>
    <t>Crane, Robert-Fryer, Christopher.</t>
  </si>
  <si>
    <t>The University of Kentucky</t>
  </si>
  <si>
    <t>A Pictorial History</t>
  </si>
  <si>
    <t>LD2773 .C66 1989</t>
  </si>
  <si>
    <t>Cone, Carl B.</t>
  </si>
  <si>
    <t>Laden Choirs</t>
  </si>
  <si>
    <t>The Fiction of Patrick White</t>
  </si>
  <si>
    <t>PR9619.3</t>
  </si>
  <si>
    <t>Wolfe, Peter</t>
  </si>
  <si>
    <t>Giraldi Cinthio on Romances</t>
  </si>
  <si>
    <t>PQ4624.I5</t>
  </si>
  <si>
    <t>Epic poetry.</t>
  </si>
  <si>
    <t>Giraldi, Giambattista Cinzio-Snuggs, Henry L.</t>
  </si>
  <si>
    <t>Quest for Eros</t>
  </si>
  <si>
    <t>Browning and 'Fifine'</t>
  </si>
  <si>
    <t>PR4222.F53</t>
  </si>
  <si>
    <t>Southwell, Samuel B.-Browning, Robert</t>
  </si>
  <si>
    <t>The Poetic Vision of Robert Penn Warren</t>
  </si>
  <si>
    <t>PS3545.A748 Z88</t>
  </si>
  <si>
    <t>Strandberg, Victor H.</t>
  </si>
  <si>
    <t>Henslowe's Rose</t>
  </si>
  <si>
    <t>The Stage and Staging</t>
  </si>
  <si>
    <t>PN2596.L7 R477</t>
  </si>
  <si>
    <t>Theaters--Stage-setting and scenery--England--History.</t>
  </si>
  <si>
    <t>Rhodes, Ernest L.</t>
  </si>
  <si>
    <t>Rhyme and Meaning in Richard Crashaw</t>
  </si>
  <si>
    <t>PR3386 .R5</t>
  </si>
  <si>
    <t>Christian poetry, English--Early modern, 1500-1700--History and criticism.,English language--Early modern, 1500-1700--Versification.</t>
  </si>
  <si>
    <t>Rickey, Mary Ellen</t>
  </si>
  <si>
    <t>Utmost Art</t>
  </si>
  <si>
    <t>Complexity in the Verse of George Herbert</t>
  </si>
  <si>
    <t>PR3508 .R5</t>
  </si>
  <si>
    <t>Supplement to the Index of Middle English Verse</t>
  </si>
  <si>
    <t>Carleton Brown and Rossell Hope Robbins</t>
  </si>
  <si>
    <t>LITERARY CRITICISM / Reference</t>
  </si>
  <si>
    <t>PR1203.R58</t>
  </si>
  <si>
    <t>Didactic poetry, English--Bibliography.,English poetry--Middle English, 1100-1500--Bibliography.,Religious poetry, English (Middle)--Bibliography.</t>
  </si>
  <si>
    <t>Robbins, Rossell Hope-Cutler, John Levi-Brown, Carleton</t>
  </si>
  <si>
    <t>The Book of the Knight Zifar</t>
  </si>
  <si>
    <t>A Translation of El Libro Del Cavallero Zifar</t>
  </si>
  <si>
    <t>FICTION / Hispanic &amp; Latino</t>
  </si>
  <si>
    <t>PQ6388.C2 E5 1983</t>
  </si>
  <si>
    <t>Chivalry--Early works to 1800.,Spanish literature--To 1500.</t>
  </si>
  <si>
    <t>Nelson, Charles L.</t>
  </si>
  <si>
    <t>Studies in Romance Languages</t>
  </si>
  <si>
    <t>Three Melodramas by Pietro Metastasio</t>
  </si>
  <si>
    <t>DRAMA / European / Italian</t>
  </si>
  <si>
    <t>PQ4718.A1 F8 1981</t>
  </si>
  <si>
    <t>Dido (Legendary character)--Drama.</t>
  </si>
  <si>
    <t>Metastasio, Pietro-Fucilla, Joseph Guerin</t>
  </si>
  <si>
    <t>The Religious Sublime</t>
  </si>
  <si>
    <t>Christian Poetry and Critical Tradition in 18th-Century England</t>
  </si>
  <si>
    <t>PR555.S77 M6 1972</t>
  </si>
  <si>
    <t>Christian poetry, English--18th century--History and criticism.,English poetry--18th century--History and criticism.,Sublime, The, in literature.,Sublime, The--History--18th century.</t>
  </si>
  <si>
    <t>Morris, David B.</t>
  </si>
  <si>
    <t>South Atlantic Modern Language Association. Award Study</t>
  </si>
  <si>
    <t>Kings and Captains</t>
  </si>
  <si>
    <t>Variations on a Heroic Theme</t>
  </si>
  <si>
    <t>PN56.5.H45</t>
  </si>
  <si>
    <t>Epic literature--History and criticism.,Heroes in literature.</t>
  </si>
  <si>
    <t>Moorman, Charles.</t>
  </si>
  <si>
    <t>Four Comedies by Pedro CalderÃ³n De La Barca</t>
  </si>
  <si>
    <t>DRAMA / European / Spanish &amp; Portuguese</t>
  </si>
  <si>
    <t>PQ6292.A1 M35 1980</t>
  </si>
  <si>
    <t>CalderoÌn de la Barca, Pedro-Muir, Kenneth.</t>
  </si>
  <si>
    <t>The Vatard Sisters</t>
  </si>
  <si>
    <t>PQ2309.H4</t>
  </si>
  <si>
    <t>French fiction--Translations into English.</t>
  </si>
  <si>
    <t>Huysmans, J.-K.-Babcock, James C.</t>
  </si>
  <si>
    <t>Critic of Civilization</t>
  </si>
  <si>
    <t>Georges Duhamel and His Writings</t>
  </si>
  <si>
    <t>PQ2607.U53 Z74</t>
  </si>
  <si>
    <t>Keating, L. Clark</t>
  </si>
  <si>
    <t>The Book of Count Lucanor and Patronio</t>
  </si>
  <si>
    <t>A Translation of Don Juan Manuel's El Conde Lucanor</t>
  </si>
  <si>
    <t>PQ6401</t>
  </si>
  <si>
    <t>Spanish literature--Translations into English.</t>
  </si>
  <si>
    <t>Juan Manuel-Keating, L. Clark.-Keller, John E.</t>
  </si>
  <si>
    <t>Drama and Ethos</t>
  </si>
  <si>
    <t>Natural-Law Ethics in Spanish Golden Age Theater</t>
  </si>
  <si>
    <t>PQ6106 .F5 2015</t>
  </si>
  <si>
    <t>Natural law in literature.,Spanish drama--Classical period, 1500-1700--History and criticism.</t>
  </si>
  <si>
    <t>Fiore, Robert L.</t>
  </si>
  <si>
    <t>La Diana of Montemayor As Social and Religious Teaching</t>
  </si>
  <si>
    <t>PQ6414 .D35 1983</t>
  </si>
  <si>
    <t>Didactic literature, Spanish--History and criticism.,Literature and society--Spain--History--16th century.,Social problems in literature.</t>
  </si>
  <si>
    <t>Damiani, Bruno Mario.</t>
  </si>
  <si>
    <t>The Return of Astraea</t>
  </si>
  <si>
    <t>An Astral-Imperial Myth in CalderÃ³n</t>
  </si>
  <si>
    <t>PQ6314.A8 D4 1986</t>
  </si>
  <si>
    <t>Astraea (Greek deity) in literature.</t>
  </si>
  <si>
    <t>de Armas, Frederick A.</t>
  </si>
  <si>
    <t>GaldÃ³s</t>
  </si>
  <si>
    <t>The Mature Thought</t>
  </si>
  <si>
    <t>PQ6555.E463 D4 1980</t>
  </si>
  <si>
    <t>Historical fiction, Spanish--History and criticism.</t>
  </si>
  <si>
    <t>Dendle, Brian J.</t>
  </si>
  <si>
    <t>Milton's Ontology, Cosmogony, and Physics</t>
  </si>
  <si>
    <t>PR3562 .C8 1957eb</t>
  </si>
  <si>
    <t>Fall of man in literature.</t>
  </si>
  <si>
    <t>Curry, Walter Clyde</t>
  </si>
  <si>
    <t>The New Dramatists of Mexico 1967--1985</t>
  </si>
  <si>
    <t>PQ7189 .B8 1991</t>
  </si>
  <si>
    <t>Mexican drama--20th century--History and criticism.</t>
  </si>
  <si>
    <t>Burgess, Ronald D.</t>
  </si>
  <si>
    <t>The Spanish Ballad in English</t>
  </si>
  <si>
    <t>PQ6267.E4 B23 1973</t>
  </si>
  <si>
    <t>Ballads, Spanish--Spain--History and criticism.,Ballads, Spanish--Spain--Texts.</t>
  </si>
  <si>
    <t>Bryant, Shasta M.</t>
  </si>
  <si>
    <t>The Faith of John Dryden</t>
  </si>
  <si>
    <t>Change and Continuity</t>
  </si>
  <si>
    <t>PR3427.R4</t>
  </si>
  <si>
    <t>Atkins, G. Douglas</t>
  </si>
  <si>
    <t>Virginia's Blues, Country, and Gospel Records, 1902-1943</t>
  </si>
  <si>
    <t>An Annotated Discography</t>
  </si>
  <si>
    <t>MUSIC / Discography &amp; Buyer's Guides</t>
  </si>
  <si>
    <t>ML156.4.B6</t>
  </si>
  <si>
    <t>Blues (Music)--Virginia--Discography.,Country music--Virginia--Discography.,Gospel music--Virginia--Discography.</t>
  </si>
  <si>
    <t>Lornell, Kip</t>
  </si>
  <si>
    <t>The Literary Mind of Medieval and Renaissance Spain</t>
  </si>
  <si>
    <t>PQ6059 .G7 1970</t>
  </si>
  <si>
    <t>Civilization, Medieval, in literature.,Renaissance--Spain.,Spanish literature--Classical period, 1500-1700--History and criticism.,Spanish literature--To 1500--History and criticism.</t>
  </si>
  <si>
    <t>Green, Otis H.</t>
  </si>
  <si>
    <t>The High Design</t>
  </si>
  <si>
    <t>English Renaissance Tragedy and the Natural Law</t>
  </si>
  <si>
    <t>PR651 .H4 1970</t>
  </si>
  <si>
    <t>English drama (Tragedy)--History and criticism.,English drama--17th century--History and criticism.,English drama--Early modern and Elizabethan, 1500-1600--History and criticism.,Natural law.,Renaissance--England.</t>
  </si>
  <si>
    <t>Herndl, George C.</t>
  </si>
  <si>
    <t>Johnson, Rasselas, and the Choice of Criticism</t>
  </si>
  <si>
    <t>PR3534 .T66 2015</t>
  </si>
  <si>
    <t>Tomarken, Edward</t>
  </si>
  <si>
    <t>Iconography in Medieval Spanish Literature</t>
  </si>
  <si>
    <t>PQ6141 .K44</t>
  </si>
  <si>
    <t>Art and literature.,Civilization, Medieval, in literature.,Narration (Rhetoric),Rhetoric, Medieval.,Spanish fiction--To 1500--History and criticism.,Spanish fiction--To 1500--Illustrations.</t>
  </si>
  <si>
    <t>Keller, John Esten.-Kinkade, Richard P.</t>
  </si>
  <si>
    <t>Di'bil B. 'Ali</t>
  </si>
  <si>
    <t>The Life and Writings of an Early 'Abbasid Poet</t>
  </si>
  <si>
    <t>LITERARY CRITICISM / Asian / General</t>
  </si>
  <si>
    <t>PJ7741.D5 A6 1961</t>
  </si>
  <si>
    <t>Arabic poetry--History and criticism.</t>
  </si>
  <si>
    <t>KhuzaÌ„Ê»iÌ„, DiÊ»bil ibn Ê»AliÌ„-Zolondek, Leon.</t>
  </si>
  <si>
    <t>CalderÃ³n</t>
  </si>
  <si>
    <t>Three Comedies by Pedro CalderÃ³n De La Barca</t>
  </si>
  <si>
    <t>PQ6292 .A2 1985</t>
  </si>
  <si>
    <t>CalderoÌn de la Barca, Pedro-Mackenzie, Ann L.-Muir, Kenneth</t>
  </si>
  <si>
    <t>Antebellum Architecture of Kentucky</t>
  </si>
  <si>
    <t>NA730.K4 L36 1991eb</t>
  </si>
  <si>
    <t>Architecture--Kentucky--History--18th century.,Architecture--Kentucky--History--19th century.</t>
  </si>
  <si>
    <t>Lancaster, Clay.</t>
  </si>
  <si>
    <t>Andrey Bely</t>
  </si>
  <si>
    <t>A Critical Review</t>
  </si>
  <si>
    <t>PG3453.B84 Z74 1975</t>
  </si>
  <si>
    <t>Janecek, Gerald.-University of Kentucky.</t>
  </si>
  <si>
    <t>Albert Shaw of the Review of Reviews</t>
  </si>
  <si>
    <t>BIOGRAPHY &amp; AUTOBIOGRAPHY / Editors, Journalists, Publishers</t>
  </si>
  <si>
    <t>PN4874.S45 G7</t>
  </si>
  <si>
    <t>Graybar, Lloyd J.</t>
  </si>
  <si>
    <t>Albert D. Kirwan</t>
  </si>
  <si>
    <t>BIOGRAPHY &amp; AUTOBIOGRAPHY / Educators</t>
  </si>
  <si>
    <t>LD2772.7</t>
  </si>
  <si>
    <t>Mathias, Frank Furlong.</t>
  </si>
  <si>
    <t>A History of Spanish Golden Age Drama</t>
  </si>
  <si>
    <t>PQ6105 .Z56 1984eb</t>
  </si>
  <si>
    <t>Ziomek, Henryk.</t>
  </si>
  <si>
    <t>Western Kentucky University</t>
  </si>
  <si>
    <t>LD5941.W5</t>
  </si>
  <si>
    <t>Harrison, Lowell Hayes</t>
  </si>
  <si>
    <t>The University of Louisville</t>
  </si>
  <si>
    <t>LD3131.L42 C69 2015</t>
  </si>
  <si>
    <t>Cox, Dwayne-Morison, William James</t>
  </si>
  <si>
    <t>Karagiozis</t>
  </si>
  <si>
    <t>Culture and Comedy in Greek Puppet Theater</t>
  </si>
  <si>
    <t>PERFORMING ARTS / Puppets &amp; Puppetry</t>
  </si>
  <si>
    <t>PN1979.S5</t>
  </si>
  <si>
    <t>Shadow shows--Greece.</t>
  </si>
  <si>
    <t>Myrsiades, Linda S.-Myrsiades, Kostas.</t>
  </si>
  <si>
    <t>Daily Life Depicted in the Cantigas De Santa Maria</t>
  </si>
  <si>
    <t>ART / History / Medieval</t>
  </si>
  <si>
    <t>PQ9189.A44 C335 1998</t>
  </si>
  <si>
    <t>Illumination of books and manuscripts, Medieval--Spain.,Illumination of books and manuscripts, Spanish.,Manners and customs in art.,Manners and customs in literature.,Middle Ages in art.,Middle Ages in literature.</t>
  </si>
  <si>
    <t>Keller, John Esten.-Cash, Annette Grant</t>
  </si>
  <si>
    <t>Country Music Annual 2002</t>
  </si>
  <si>
    <t>MUSIC / Genres &amp; Styles / Country &amp; Bluegrass</t>
  </si>
  <si>
    <t>ML3523</t>
  </si>
  <si>
    <t>Country music--History and criticism.</t>
  </si>
  <si>
    <t>Akenson, James E.-Wolfe, Charles K.</t>
  </si>
  <si>
    <t>Country Music Annual 2001</t>
  </si>
  <si>
    <t>ML3524</t>
  </si>
  <si>
    <t>Country Music Annual 2000</t>
  </si>
  <si>
    <t>Amadis of Gaul, Books III and IV</t>
  </si>
  <si>
    <t>FICTION / Action &amp; Adventure</t>
  </si>
  <si>
    <t>PQ6275</t>
  </si>
  <si>
    <t>Chivalry--Fiction.,Knights and knighthood--Fiction.</t>
  </si>
  <si>
    <t>Behm, Herbert C.-Place, Edwin B.-RodriÌguez de Montalvo, Garci.</t>
  </si>
  <si>
    <t>Amadis of Gaul</t>
  </si>
  <si>
    <t>Aesop's Fables</t>
  </si>
  <si>
    <t>With a Life of Aesop</t>
  </si>
  <si>
    <t>PQ6498 .V2913 1993</t>
  </si>
  <si>
    <t>Fables, Greek--Adaptations.,Fables, Spanish--Translations into English.</t>
  </si>
  <si>
    <t>Aesop.-Keller, John Esten.-Keating, L. Clark</t>
  </si>
  <si>
    <t>Transylvania</t>
  </si>
  <si>
    <t>Tutor to the West</t>
  </si>
  <si>
    <t>LD5351.T72 W74 2006</t>
  </si>
  <si>
    <t>Wright, John Dean</t>
  </si>
  <si>
    <t>The Newspaper Press in Kentucky</t>
  </si>
  <si>
    <t>PN4897.K45 E9 1976eb</t>
  </si>
  <si>
    <t>American newspapers--Kentucky--History.,Journalists--Kentucky.</t>
  </si>
  <si>
    <t>Evans, Herndon J.</t>
  </si>
  <si>
    <t>The Kentucky Bicentennial Bookshelf</t>
  </si>
  <si>
    <t>Smoky Mountain Voices</t>
  </si>
  <si>
    <t>A Lexicon of Southern Appalachian Speech Based on the Research of Horace Kephart</t>
  </si>
  <si>
    <t>PE2970.A6 S65 1993eb</t>
  </si>
  <si>
    <t>Americanisms--Appalachian Region, Southern--Dictionaries.,Americanisms--Great Smoky Mountains (N.C. and Tenn.)--Dictionaries.,English language--Dialects--Appalachian Region, Southern--Glossaries, vocabularies, etc.,English language--Dialects--Great Smoky Mountains (N.C. and Tenn.)--Glossaries, vocabularies, etc.,English language--Spoken English--Appalachian Region, Southern.,English language--Spoken English--Great Sm,Figures of speech.,Popular culture--Appalachian Region, Southern--Dictionaries.</t>
  </si>
  <si>
    <t>Nicholas, J. Karl-Farwell, Harold F.-Kephart, Horace</t>
  </si>
  <si>
    <t>Raising Her Voice</t>
  </si>
  <si>
    <t>African-American Women Journalists Who Changed History</t>
  </si>
  <si>
    <t>PN4872 .S66 1994eb</t>
  </si>
  <si>
    <t>African American journalists--Biography.,African American women--Biography.,Journalism--United States--History--19th century.,Journalism--United States--History--20th century.</t>
  </si>
  <si>
    <t>Streitmatter, Rodger.</t>
  </si>
  <si>
    <t>Pious Brief Narrative in Medieval Castilian and Galician Verse</t>
  </si>
  <si>
    <t>From Berceo to Alfonso X</t>
  </si>
  <si>
    <t>PQ6060</t>
  </si>
  <si>
    <t>Christian poetry, Spanish--History and criticism.,Civilization, Medieval, in literature.,Narrative poetry, Spanish--History and criticism.,Spanish poetry--To 1500--History and criticism.</t>
  </si>
  <si>
    <t>Keller, John Esten.</t>
  </si>
  <si>
    <t>Old Burnside</t>
  </si>
  <si>
    <t>HISTORY / United States / State &amp; Local / South (AL, AR, FL, GA, KY, LA, MS, NC, SC, TN, VA, WV)</t>
  </si>
  <si>
    <t>PS3501.R64</t>
  </si>
  <si>
    <t>Authors, American--20th century--Biography.,Authors, American--Homes and haunts--Kentucky--Burnside.</t>
  </si>
  <si>
    <t>Arnow, Harriette Louisa Simpson</t>
  </si>
  <si>
    <t>Here Comes The Showboat!</t>
  </si>
  <si>
    <t>PN2293.S4 B79 1994</t>
  </si>
  <si>
    <t>River life--Ohio River--History--20th century.,Showboats--History--20th century.</t>
  </si>
  <si>
    <t>Bryant, Betty</t>
  </si>
  <si>
    <t>Ohio River Valley Series</t>
  </si>
  <si>
    <t>Graham Greene</t>
  </si>
  <si>
    <t>Some Critical Considerations</t>
  </si>
  <si>
    <t>PR6013.R44</t>
  </si>
  <si>
    <t>Evans, Robert Owen.</t>
  </si>
  <si>
    <t>A Descriptive Catalog</t>
  </si>
  <si>
    <t>LITERARY COLLECTIONS / American / General</t>
  </si>
  <si>
    <t>Miller, R. H.</t>
  </si>
  <si>
    <t>Divided Fictions</t>
  </si>
  <si>
    <t>Fanny Burney and Feminine Strategy</t>
  </si>
  <si>
    <t>PR3316.A4 Z79 1987</t>
  </si>
  <si>
    <t>Feminism and literature.,Sex role in literature.,Women in literature.</t>
  </si>
  <si>
    <t>Straub, Kristina</t>
  </si>
  <si>
    <t>Boswell</t>
  </si>
  <si>
    <t>Citizen of the World, Man of Letters</t>
  </si>
  <si>
    <t>PR3325</t>
  </si>
  <si>
    <t>Authors, English--Biography--History and criticism.,Authors, Scottish--18th century--Biography.,Biographers--Great Britain--Biography.,Biography as a literary form.,Enlightenment--Scotland.</t>
  </si>
  <si>
    <t>Lustig, Irma S.</t>
  </si>
  <si>
    <t>Doing Your Research Project</t>
  </si>
  <si>
    <t>A Guide For First-Time Researchers</t>
  </si>
  <si>
    <t>Open International Publishing Limited</t>
  </si>
  <si>
    <t>McGraw-Hill Education</t>
  </si>
  <si>
    <t>Education--Research--Methodology.,Independent study.,Social sciences--Research--Methodology.</t>
  </si>
  <si>
    <t>Bell, Judith.-Waters, Stephen.</t>
  </si>
  <si>
    <t>Tennyson's Language</t>
  </si>
  <si>
    <t>PR5594 .H35 1991</t>
  </si>
  <si>
    <t>Language and languages--Philosophy--History--19th century.</t>
  </si>
  <si>
    <t>Social Working</t>
  </si>
  <si>
    <t>An Ethnography of Front-line Practice</t>
  </si>
  <si>
    <t>HV40 .D454 1995</t>
  </si>
  <si>
    <t>Social case work with children.,Social case work.,Social workers.</t>
  </si>
  <si>
    <t>De Montigny, Gerald A. J.</t>
  </si>
  <si>
    <t>Not This Time</t>
  </si>
  <si>
    <t>Canadians, Public Policy, and the Marijuana Question, 1961-1975</t>
  </si>
  <si>
    <t>HV5840.C3 M37 2006</t>
  </si>
  <si>
    <t>Marijuana--Government policy--Canada--History--20th century.</t>
  </si>
  <si>
    <t>Martel, Marcel</t>
  </si>
  <si>
    <t>Hopkins, the Self, and God</t>
  </si>
  <si>
    <t>PR4803.H44 Z7243 1986</t>
  </si>
  <si>
    <t>Catholics--England--Intellectual life.,Christian poetry, English--19th century--History and criticism.,God in literature.,Poetry--Psychological aspects.,Self in literature.</t>
  </si>
  <si>
    <t>Ong, Walter J.</t>
  </si>
  <si>
    <t>Harm Reduction</t>
  </si>
  <si>
    <t>A New Direction for Drug Policies and Programs</t>
  </si>
  <si>
    <t>HV4998 .H37 1997eb</t>
  </si>
  <si>
    <t>Drug abuse--Congresses.,Drug abuse--Government policy--Congresses.,Drug abuse--Prevention--Congresses.,Drug abuse--Treatment--Congresses.</t>
  </si>
  <si>
    <t>Erickson, Patricia G.-Riley, Diane M.-Cheung, Yuet-wah-O'Hare, P. A.</t>
  </si>
  <si>
    <t>Deaf-blind Infants and Children</t>
  </si>
  <si>
    <t>A Developmental Guide</t>
  </si>
  <si>
    <t>EDUCATION / Special Education / Physical Disabilities</t>
  </si>
  <si>
    <t>HV1597 .M34 1993eb</t>
  </si>
  <si>
    <t>Children with disabilities.,Deafblind children.</t>
  </si>
  <si>
    <t>McInnes, J. M.-Treffry, J. A.</t>
  </si>
  <si>
    <t>At Odds</t>
  </si>
  <si>
    <t>Gambling and Canadians, 1919-1969</t>
  </si>
  <si>
    <t>HV6722.C3 M67 2003</t>
  </si>
  <si>
    <t>Gambling--Canada--History--20th century.,Gambling--Government policy--Canada.,Gambling--Moral and ethical aspects--Canada--History--20th century.,Gambling--Social aspects--Canada--History--20th century.</t>
  </si>
  <si>
    <t>Morton, Suzanne</t>
  </si>
  <si>
    <t>Perception</t>
  </si>
  <si>
    <t>Routledge</t>
  </si>
  <si>
    <t>B828.45 .M38 2003eb</t>
  </si>
  <si>
    <t>Perception (Philosophy)</t>
  </si>
  <si>
    <t>Maund, Barry.</t>
  </si>
  <si>
    <t>Central Problems of Philosophy</t>
  </si>
  <si>
    <t>Coordinating the Criminal Justice System</t>
  </si>
  <si>
    <t>A Guide to Improve the Effective Administration of Justice</t>
  </si>
  <si>
    <t>LAW / Courts</t>
  </si>
  <si>
    <t>HV9950 .S63 2008</t>
  </si>
  <si>
    <t>Criminal justice, Administration of--United States.</t>
  </si>
  <si>
    <t>Smith, Leslie J.</t>
  </si>
  <si>
    <t>The House on Ipswich Marsh</t>
  </si>
  <si>
    <t>Exploring the Natural History of New England</t>
  </si>
  <si>
    <t>UPNE</t>
  </si>
  <si>
    <t>TRAVEL / Special Interest / Ecotourism</t>
  </si>
  <si>
    <t>QH105.M4 S26 2005eb</t>
  </si>
  <si>
    <t>Natural history--Massachusetts--North Shore.</t>
  </si>
  <si>
    <t>Sargent, William</t>
  </si>
  <si>
    <t>Capturing the Commons</t>
  </si>
  <si>
    <t>Devising Institutions to Manage the Maine Lobster Industry</t>
  </si>
  <si>
    <t>HD9472.L63 U52 2003</t>
  </si>
  <si>
    <t>Fishery policy--Maine.,Lobster fisheries--Maine.,Lobster fishers--Maine.,Lobster industry--Government policy--Maine--Citizen participation.</t>
  </si>
  <si>
    <t>Acheson, James M.</t>
  </si>
  <si>
    <t>Feminist Rereadings of Rabbinic Literature</t>
  </si>
  <si>
    <t>RELIGION / Judaism / General</t>
  </si>
  <si>
    <t>BM496.9.W7</t>
  </si>
  <si>
    <t>Feminism--Religious aspects--Judaism.,Women in Judaism.,Women in rabbinical literature.</t>
  </si>
  <si>
    <t>RavÌ£eh, Ê»Inbar.-Fish, Kaeren.</t>
  </si>
  <si>
    <t>HBI Series on Jewish Women</t>
  </si>
  <si>
    <t>The Hidden Curriculum in Health Professional Education</t>
  </si>
  <si>
    <t>R834</t>
  </si>
  <si>
    <t>Clinical medicine--Study and teaching.,Medical education.,Medicine--Study and teaching.</t>
  </si>
  <si>
    <t>O'Donnell, Joseph F.-Hafferty, Frederic W.</t>
  </si>
  <si>
    <t>Religion in China and Its Modern Fate</t>
  </si>
  <si>
    <t>RELIGION / Reference</t>
  </si>
  <si>
    <t>BL1802 .K38 2014</t>
  </si>
  <si>
    <t>Katz, Paul R.</t>
  </si>
  <si>
    <t>Jewish Philosophical Politics in Germany, 1789â€“1848</t>
  </si>
  <si>
    <t>PHILOSOPHY / Eastern</t>
  </si>
  <si>
    <t>B5800 .R674 2014</t>
  </si>
  <si>
    <t>Jewish philosophy--Germany--18th century.,Jewish philosophy--Germany--19th century.,Judaism and philosophy.,Judaism--Germany--History--18th century.,Judaism--Germany--History--19th century.</t>
  </si>
  <si>
    <t>Rose, Sven-Erik.</t>
  </si>
  <si>
    <t>Tauber Institute Series for the Study of European Jewry</t>
  </si>
  <si>
    <t>Printed Physics</t>
  </si>
  <si>
    <t>Metalithikum I</t>
  </si>
  <si>
    <t>ARCHITECTURE / Study &amp; Teaching</t>
  </si>
  <si>
    <t>Ludger Hovestadt-Vera BÃ¼hlmann</t>
  </si>
  <si>
    <t>Applied Virtuality Book Series</t>
  </si>
  <si>
    <t>Canadian Biographical Index / Index Biographique Canadien / Kanadischer Biographischer Index (CaBI)</t>
  </si>
  <si>
    <t>Laureen Baillie</t>
  </si>
  <si>
    <t>Korean Biographical Index / Koreanischer Biographischer Index</t>
  </si>
  <si>
    <t>Axel Frey</t>
  </si>
  <si>
    <t>Die Praeparatio evangelica. Teil 1: Einleitung. Die BÃ¼cher I bis X</t>
  </si>
  <si>
    <t>Karl Mras-Ã‰douard des Places</t>
  </si>
  <si>
    <t>Die Praeparatio Evangelica. Teil 2: Die BÃ¼cher XI bis XV. Register</t>
  </si>
  <si>
    <t>Der Jesajakommentar</t>
  </si>
  <si>
    <t>Joseph Ziegler</t>
  </si>
  <si>
    <t>Die Chronik</t>
  </si>
  <si>
    <t>Aus dem Armenischen Ã¼bersetzt</t>
  </si>
  <si>
    <t>Josef Karst</t>
  </si>
  <si>
    <t>Fabulae Aesopicae soluta oratione conscriptae</t>
  </si>
  <si>
    <t>Aesopus-Herbert Hunger</t>
  </si>
  <si>
    <t>Initia Carminum Byzantinorum</t>
  </si>
  <si>
    <t>Ioannis Vassis</t>
  </si>
  <si>
    <t>Supplementa Byzantina</t>
  </si>
  <si>
    <t>Libri IX-X. Indices</t>
  </si>
  <si>
    <t>Pausanias Periegeta-Maria Helena Rocha-Pereira</t>
  </si>
  <si>
    <t>Commentarii in somnium Scipionis</t>
  </si>
  <si>
    <t>Ambrosius Theodosius Macrobius-James Willis</t>
  </si>
  <si>
    <t>Protrepticus. Ad fidem codicis Florentini</t>
  </si>
  <si>
    <t>Iamblichus-Ermenegildo Pistelli</t>
  </si>
  <si>
    <t>British Biographical Index / Britischer Biographischer Index</t>
  </si>
  <si>
    <t>Tommaso Nappo</t>
  </si>
  <si>
    <t>Arab-Islamic Biographical Index / Arabischer-Islamischer Biographischer Index</t>
  </si>
  <si>
    <t>Jutta Cikar-Mustafa Cikar</t>
  </si>
  <si>
    <t>Dictionary of Archival Terminology / Dictionnaire De Terminologie Archivistique</t>
  </si>
  <si>
    <t>English and French. With Equivalents in Dutch, German, Italian, Russian and Spanish</t>
  </si>
  <si>
    <t>BUSINESS &amp; ECONOMICS / Museum Administration &amp; Museology</t>
  </si>
  <si>
    <t>Peter Walne</t>
  </si>
  <si>
    <t>ICA Handbooks Series</t>
  </si>
  <si>
    <t>Theologica</t>
  </si>
  <si>
    <t>Volume I</t>
  </si>
  <si>
    <t>Michael Psellus-Paul Gautier</t>
  </si>
  <si>
    <t>Vitae parallelae</t>
  </si>
  <si>
    <t>Volumen I/Fasc. 2</t>
  </si>
  <si>
    <t>Plutarchus-Claes Lindskog-Konrat Ziegler-Hans GÃ¤rtner</t>
  </si>
  <si>
    <t>Deluge</t>
  </si>
  <si>
    <t>Tropical Storm Irene, Vermontâ€™s Flash Floods, and How One Small State Saved Itself</t>
  </si>
  <si>
    <t>HV636 1999.V5 S55 2013eb</t>
  </si>
  <si>
    <t>Disaster relief--Vermont.,Floods--Vermont.,Hurricane damage--Vermont.,Hurricane Irene, 2011.</t>
  </si>
  <si>
    <t>Shinn, Peggy.</t>
  </si>
  <si>
    <t>Taking Care</t>
  </si>
  <si>
    <t>Lessons From Mothers with Disabilities</t>
  </si>
  <si>
    <t>FAMILY &amp; RELATIONSHIPS / Parenting / Motherhood</t>
  </si>
  <si>
    <t>HV3021.W66 M36 2012</t>
  </si>
  <si>
    <t>Disability awareness.,Mother and child--Health aspects.,Mothers.,Women with disabilities.</t>
  </si>
  <si>
    <t>Mason, Mary Grimley.</t>
  </si>
  <si>
    <t>Managing Project Budgets</t>
  </si>
  <si>
    <t>Shortcuts to Success</t>
  </si>
  <si>
    <t>BCS, The Chartered Institute for IT</t>
  </si>
  <si>
    <t>BUSINESS &amp; ECONOMICS / Project Management</t>
  </si>
  <si>
    <t>Elizabeth Harrin</t>
  </si>
  <si>
    <t>Managing Yourself</t>
  </si>
  <si>
    <t>Managing Project Teams</t>
  </si>
  <si>
    <t>Managing Project Scope</t>
  </si>
  <si>
    <t>Managing Project Plans</t>
  </si>
  <si>
    <t>Conservancy</t>
  </si>
  <si>
    <t>The Land Trust Movement in America</t>
  </si>
  <si>
    <t>HD205 .B74 2003eb</t>
  </si>
  <si>
    <t>Conservation easements--United States.,Land trusts--United States.,Land use--United States.,Natural areas--United States.,Nature conservation--United States.</t>
  </si>
  <si>
    <t>Brewer, Richard.</t>
  </si>
  <si>
    <t>Working the Crowd</t>
  </si>
  <si>
    <t>Social Media Marketing for Business</t>
  </si>
  <si>
    <t>BUSINESS &amp; ECONOMICS / Business Communication / General</t>
  </si>
  <si>
    <t>Eileen Brown</t>
  </si>
  <si>
    <t>Margaret Pole, Countess of Salisbury 1473-1541</t>
  </si>
  <si>
    <t>Loyalty, Lineage and Leadership</t>
  </si>
  <si>
    <t>University of Wales Press</t>
  </si>
  <si>
    <t>Hazel Pierce</t>
  </si>
  <si>
    <t>The Ladies of Gregynog</t>
  </si>
  <si>
    <t>Eirene White</t>
  </si>
  <si>
    <t>Culture, Conflict, and Mediation in the Asian Pacific</t>
  </si>
  <si>
    <t>SOCIAL SCIENCE / Reference</t>
  </si>
  <si>
    <t>HN655.2.C65 B27 2007eb</t>
  </si>
  <si>
    <t>Conflict management--Asia--Cross-cultural studies.,Conflict management--Pacific Area--Cross-cultural studies.,National characteristics, Asian.</t>
  </si>
  <si>
    <t>Barnes, Bruce E.</t>
  </si>
  <si>
    <t>Voices From the Inside</t>
  </si>
  <si>
    <t>Case Studies From a Tennessee Women's Prison</t>
  </si>
  <si>
    <t>SOCIAL SCIENCE / Ethnic Studies / African American Studies</t>
  </si>
  <si>
    <t>HV8836.5 .O43 2009eb</t>
  </si>
  <si>
    <t>Discrimination in criminal justice administration--Tennessee.,Drug abuse and crime--Tennessee.,Female offenders--Drug use--Tennessee--Case studies.,Women drug addicts--Rehabilitation--Tennessee--Case studies.,Women prisoners--Drug use--Tennessee--Case studies.</t>
  </si>
  <si>
    <t>Ogbonna, Chinyere.-Nordin, Ross A.</t>
  </si>
  <si>
    <t>Configuring America</t>
  </si>
  <si>
    <t>Iconic Figures, Visuality, and the American Identity</t>
  </si>
  <si>
    <t>E176.1</t>
  </si>
  <si>
    <t>Popular culture--United States.</t>
  </si>
  <si>
    <t>Rieser, Klaus.</t>
  </si>
  <si>
    <t>Effective Planning Strategies and Proposal Writing</t>
  </si>
  <si>
    <t>A Workbook for Helping Professionals</t>
  </si>
  <si>
    <t>HG177 .C69 2010</t>
  </si>
  <si>
    <t>Business planning.,Organisational change--Management.,Proposal writing for grants.</t>
  </si>
  <si>
    <t>Cowher, Salene Juanita Osborn.-Dickson, Larry S.</t>
  </si>
  <si>
    <t>How Difficult It Is to Be God</t>
  </si>
  <si>
    <t>Shining Pathâ€™s Politics of War in Peru, 1980â€“1999</t>
  </si>
  <si>
    <t>HV6433.P4 D4513 2012eb</t>
  </si>
  <si>
    <t>Political violence--Peru.,Violence--Peru--History--20th century.</t>
  </si>
  <si>
    <t>Degregori, Carlos IvaÌn.-Appelbaum, Nancy P.-Stern, Steve J.</t>
  </si>
  <si>
    <t>The Geography of Genocide</t>
  </si>
  <si>
    <t>HV6322.7 .C66 2009</t>
  </si>
  <si>
    <t>Genocide--History.,Genocide--Prevention.</t>
  </si>
  <si>
    <t>Cooper, Allan D.</t>
  </si>
  <si>
    <t>Visionaries In Our Midst</t>
  </si>
  <si>
    <t>Ordinary People Who Are Changing Our World</t>
  </si>
  <si>
    <t>HN59.2 .S573 2009</t>
  </si>
  <si>
    <t>Social action--United States.,Social problems--United States.,Voluntarism--United States.</t>
  </si>
  <si>
    <t>Silberberg, Allison.</t>
  </si>
  <si>
    <t>Understanding Muslim Discourse</t>
  </si>
  <si>
    <t>Language, Tradition, and the Message of Bin Laden</t>
  </si>
  <si>
    <t>HV6430.B55 L6 2009eb</t>
  </si>
  <si>
    <t>Islam and state.,Jihad.,Terrorism--Religious aspects--Islam.,Terrorists--Saudi Arabia--Biography.</t>
  </si>
  <si>
    <t>Lo, Mbaye.</t>
  </si>
  <si>
    <t>Clinical Social Work Practice and Regulation</t>
  </si>
  <si>
    <t>An Overview</t>
  </si>
  <si>
    <t>HV690.U6 G76 2009eb</t>
  </si>
  <si>
    <t>Psychiatric social work--Law and legislation--United States.,Psychiatric social work--Licenses--United States.,Psychiatric social work--Practice--United States.</t>
  </si>
  <si>
    <t>Groshong, Laura W.-Clinical Social Work Association.</t>
  </si>
  <si>
    <t>Social Justice and Increasing Global Destitution</t>
  </si>
  <si>
    <t>HM671 .O45 2009eb</t>
  </si>
  <si>
    <t>Civil society.,Human rights.,Social justice.</t>
  </si>
  <si>
    <t>Okosun, T. Y.</t>
  </si>
  <si>
    <t>The New Orleans Sniper</t>
  </si>
  <si>
    <t>A Phenomenological Case Study of Constituting the Other</t>
  </si>
  <si>
    <t>TRUE CRIME / General</t>
  </si>
  <si>
    <t>HV6534.N45 W35 2010eb</t>
  </si>
  <si>
    <t>Murder--Louisiana--New Orleans--Case studies.,Other (Philosophy)--Case studies.,Phenomenology--Case studies.,Police--Violence against--Louisiana--New Orleans--Case studies.</t>
  </si>
  <si>
    <t>Waksler, Frances Chaput.</t>
  </si>
  <si>
    <t>Feeding the Russian Fur Trade</t>
  </si>
  <si>
    <t>Provisionment of the Okhotsk Seaboard and the Kamchatka Peninsula, 1639â€“1856</t>
  </si>
  <si>
    <t>HD9015.R93 O54</t>
  </si>
  <si>
    <t>Food supply--Okhotsk, Sea of, Region.,Food supply--Russia (Federation)--Kamchatka Peninsula.</t>
  </si>
  <si>
    <t>Gibson, James R.</t>
  </si>
  <si>
    <t>A Political Nation</t>
  </si>
  <si>
    <t>New Directions in Mid-Nineteenth-Century American Political History</t>
  </si>
  <si>
    <t>JK311 .P65 2012eb</t>
  </si>
  <si>
    <t>Federal government--United States--History--19th century.,Political culture--United States--History--19th century.,Political parties--United States--History--19th century.,Secession--United States--History.,States' rights (American politics)--History--19th century.</t>
  </si>
  <si>
    <t>Shelden, Rachel A.-Gallagher, Gary W.</t>
  </si>
  <si>
    <t>Sit Down and Drink Your Beer</t>
  </si>
  <si>
    <t>Regulating Vancouver's Beer Parlours, 1925-1954</t>
  </si>
  <si>
    <t>HV5310.V35 C34 2001eb</t>
  </si>
  <si>
    <t>Bars (Drinking establishments)--British Columbia--Vancouver--History--20th century.,Drinking customs--British Columbia--Vancouver--History--20th century.,Drinking of alcoholic beverages--British Columbia--Vancouver--History--20th century.,Liquor laws--British Columbia--Vancouver--History--20th century.</t>
  </si>
  <si>
    <t>Campbell, Robert A.</t>
  </si>
  <si>
    <t>Studies in Gender and History</t>
  </si>
  <si>
    <t>Outdoor Learning</t>
  </si>
  <si>
    <t>Past and Present</t>
  </si>
  <si>
    <t>LC1038 .J69 2012eb</t>
  </si>
  <si>
    <t>Elementary school teaching.,Outdoor education.</t>
  </si>
  <si>
    <t>Joyce, Rosaleen.</t>
  </si>
  <si>
    <t>Crazy Culture</t>
  </si>
  <si>
    <t>The Sins of Civilization</t>
  </si>
  <si>
    <t>HM621 .H45 2012</t>
  </si>
  <si>
    <t>Culture.</t>
  </si>
  <si>
    <t>Heinegg, Peter.</t>
  </si>
  <si>
    <t>Americanizing Japanese Firms</t>
  </si>
  <si>
    <t>The Institutionalization of Corporate Philanthropy and Volunteerism in American Communities</t>
  </si>
  <si>
    <t>HG4028.C6 Y58 2010eb</t>
  </si>
  <si>
    <t>Corporations, Japanese--Charitable contributions--United States.,Manufacturing industries--United States.,Social responsibility of business--United States.,Voluntarism--United States.</t>
  </si>
  <si>
    <t>Yotsumoto, Yukio</t>
  </si>
  <si>
    <t>Play As Engagement and Communication</t>
  </si>
  <si>
    <t>HQ782 .P53 2010eb</t>
  </si>
  <si>
    <t>Play--Psychological aspects.,Play--Social aspects.</t>
  </si>
  <si>
    <t>Nwokah, Eva E.</t>
  </si>
  <si>
    <t>Play &amp; Culture Studies</t>
  </si>
  <si>
    <t>Digital Deliverance</t>
  </si>
  <si>
    <t>Dragging Rural America, Kicking and Screaming, Into the Information Economy</t>
  </si>
  <si>
    <t>TECHNOLOGY &amp; ENGINEERING / General</t>
  </si>
  <si>
    <t>HN49.C6 E39 2009eb</t>
  </si>
  <si>
    <t>Broadband communication systems--United States.,Communication in rural development--United States.,Information technology--Economic aspects--United States.,Rural development--United States.</t>
  </si>
  <si>
    <t>Edwards, Judson C.</t>
  </si>
  <si>
    <t>Breaking the Adolescent Parent Cycle</t>
  </si>
  <si>
    <t>Valuing Fatherhood and Motherhood</t>
  </si>
  <si>
    <t>HQ759.64 .W47 2009eb</t>
  </si>
  <si>
    <t>Teenage parents--United States.,Teenage parents--United States--Social conditions.,Teenage pregnancy--Social aspects--United States.,Teenage pregnancy--United States--Prevention.</t>
  </si>
  <si>
    <t>Westman, Jack C.</t>
  </si>
  <si>
    <t>Executed Women of 20th and 21st Centuries</t>
  </si>
  <si>
    <t>HV9471 .G555 2009eb</t>
  </si>
  <si>
    <t>Capital punishment--United States--Case studies.,Death row inmates--United States--Case studies.,Women prisoners--United States--Case studies.</t>
  </si>
  <si>
    <t>Gillespie, L. Kay.</t>
  </si>
  <si>
    <t>Transactions at Play</t>
  </si>
  <si>
    <t>Volume 9</t>
  </si>
  <si>
    <t>PSYCHOLOGY / Developmental / Child</t>
  </si>
  <si>
    <t>HQ782 .T795 2009eb</t>
  </si>
  <si>
    <t>Clark, Cindy Dell.</t>
  </si>
  <si>
    <t>'We Hold These Truths to Be Self-Evident...'</t>
  </si>
  <si>
    <t>An Interdisciplinary Analysis of the Roots of Racism and Slavery in America</t>
  </si>
  <si>
    <t>HT1521 .A33 2009eb</t>
  </si>
  <si>
    <t>Racism--United States--History.,Slavery--United States.</t>
  </si>
  <si>
    <t>Addison, Kenneth N.</t>
  </si>
  <si>
    <t>Resolving the Paradox of Jean-Jacques Rousseau's Sexual Politics</t>
  </si>
  <si>
    <t>HQ23 .I24 2009eb</t>
  </si>
  <si>
    <t>Autonomy (Psychology),Dependency (Psychology),Sex role.</t>
  </si>
  <si>
    <t>Ice, Tamela</t>
  </si>
  <si>
    <t>Imagine a World</t>
  </si>
  <si>
    <t>Pioneering Black Women Sociologists</t>
  </si>
  <si>
    <t>HM477.U6 A43 2009eb</t>
  </si>
  <si>
    <t>African American sociologists.,Sociology--United States--History.,Women sociologists--United States.</t>
  </si>
  <si>
    <t>Aldridge, Delores P.</t>
  </si>
  <si>
    <t>Criminal Justice and the Policy Process</t>
  </si>
  <si>
    <t>HV8139 .H68 2008eb</t>
  </si>
  <si>
    <t>Crime--Government policy--United States.,Criminal justice, Administration of--United States.</t>
  </si>
  <si>
    <t>Houston, James-Parsons, William W.-Bridgmon, Phillip.</t>
  </si>
  <si>
    <t>Homeless Not Hopeless</t>
  </si>
  <si>
    <t>The Survival Networks of Latinos and African American Men</t>
  </si>
  <si>
    <t>HV4505 .M65 2008eb</t>
  </si>
  <si>
    <t>African American homeless persons--Social networks.,Hispanic American homeless persons--Social networks.,Homeless men--Social networks--United States.,Homeless persons--Social networks--United States.</t>
  </si>
  <si>
    <t>Molina-Jackson, Edna</t>
  </si>
  <si>
    <t>Pulp Fictions of Medieval England</t>
  </si>
  <si>
    <t>Essays in Popular Romance</t>
  </si>
  <si>
    <t>Nicola McDonald</t>
  </si>
  <si>
    <t>Benjamin Disraeli Letters</t>
  </si>
  <si>
    <t>DA564.B3 A4 1982 v.8</t>
  </si>
  <si>
    <t>Prime ministers--Great Britain--Correspondence.</t>
  </si>
  <si>
    <t>Disraeli, Benjamin-Wiebe, M.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</si>
</sst>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5"/>
  <sheetViews>
    <sheetView tabSelected="1" workbookViewId="0"/>
  </sheetViews>
  <sheetFormatPr defaultRowHeight="14.4" x14ac:dyDescent="0.3"/>
  <cols>
    <col min="20" max="20" width="11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>
        <v>1900188</v>
      </c>
      <c r="B2" t="s">
        <v>20</v>
      </c>
      <c r="C2" t="s">
        <v>21</v>
      </c>
      <c r="D2" t="s">
        <v>22</v>
      </c>
      <c r="E2" t="s">
        <v>22</v>
      </c>
      <c r="F2">
        <v>2007</v>
      </c>
      <c r="G2" t="s">
        <v>23</v>
      </c>
      <c r="J2" t="s">
        <v>24</v>
      </c>
      <c r="K2" t="s">
        <v>25</v>
      </c>
      <c r="L2" t="b">
        <v>1</v>
      </c>
      <c r="M2" t="s">
        <v>26</v>
      </c>
      <c r="P2" t="b">
        <v>0</v>
      </c>
      <c r="R2" t="str">
        <f>"9781868144648"</f>
        <v>9781868144648</v>
      </c>
      <c r="S2" t="str">
        <f>"9781776141296"</f>
        <v>9781776141296</v>
      </c>
    </row>
    <row r="3" spans="1:20" x14ac:dyDescent="0.3">
      <c r="A3">
        <v>1900187</v>
      </c>
      <c r="B3" t="s">
        <v>27</v>
      </c>
      <c r="C3" t="s">
        <v>28</v>
      </c>
      <c r="D3" t="s">
        <v>22</v>
      </c>
      <c r="E3" t="s">
        <v>22</v>
      </c>
      <c r="F3">
        <v>2012</v>
      </c>
      <c r="G3" t="s">
        <v>29</v>
      </c>
      <c r="J3" t="s">
        <v>24</v>
      </c>
      <c r="K3" t="s">
        <v>25</v>
      </c>
      <c r="L3" t="b">
        <v>1</v>
      </c>
      <c r="M3" t="s">
        <v>30</v>
      </c>
      <c r="P3" t="b">
        <v>0</v>
      </c>
      <c r="R3" t="str">
        <f>"9781868145454"</f>
        <v>9781868145454</v>
      </c>
      <c r="S3" t="str">
        <f>"9781868145980"</f>
        <v>9781868145980</v>
      </c>
    </row>
    <row r="4" spans="1:20" x14ac:dyDescent="0.3">
      <c r="A4">
        <v>1896616</v>
      </c>
      <c r="B4" t="s">
        <v>31</v>
      </c>
      <c r="D4" t="s">
        <v>32</v>
      </c>
      <c r="E4" t="s">
        <v>33</v>
      </c>
      <c r="F4">
        <v>2007</v>
      </c>
      <c r="G4" t="s">
        <v>34</v>
      </c>
      <c r="J4" t="s">
        <v>24</v>
      </c>
      <c r="K4" t="s">
        <v>25</v>
      </c>
      <c r="L4" t="b">
        <v>1</v>
      </c>
      <c r="M4" t="s">
        <v>35</v>
      </c>
      <c r="P4" t="b">
        <v>0</v>
      </c>
      <c r="R4" t="str">
        <f>"9781931534215"</f>
        <v>9781931534215</v>
      </c>
      <c r="S4" t="str">
        <f>"9781623030841"</f>
        <v>9781623030841</v>
      </c>
    </row>
    <row r="5" spans="1:20" x14ac:dyDescent="0.3">
      <c r="A5">
        <v>1896590</v>
      </c>
      <c r="B5" t="s">
        <v>36</v>
      </c>
      <c r="C5" t="s">
        <v>37</v>
      </c>
      <c r="D5" t="s">
        <v>38</v>
      </c>
      <c r="E5" t="s">
        <v>39</v>
      </c>
      <c r="F5">
        <v>1989</v>
      </c>
      <c r="G5" t="s">
        <v>40</v>
      </c>
      <c r="H5" t="s">
        <v>41</v>
      </c>
      <c r="I5" t="s">
        <v>42</v>
      </c>
      <c r="J5" t="s">
        <v>24</v>
      </c>
      <c r="K5" t="s">
        <v>25</v>
      </c>
      <c r="L5" t="b">
        <v>1</v>
      </c>
      <c r="M5" t="s">
        <v>43</v>
      </c>
      <c r="N5" t="str">
        <f>"813/.54"</f>
        <v>813/.54</v>
      </c>
      <c r="P5" t="b">
        <v>1</v>
      </c>
      <c r="R5" t="str">
        <f>"9781557281111"</f>
        <v>9781557281111</v>
      </c>
      <c r="S5" t="str">
        <f>"9781610753234"</f>
        <v>9781610753234</v>
      </c>
      <c r="T5">
        <v>610113227</v>
      </c>
    </row>
    <row r="6" spans="1:20" x14ac:dyDescent="0.3">
      <c r="A6">
        <v>1893534</v>
      </c>
      <c r="B6" t="s">
        <v>44</v>
      </c>
      <c r="D6" t="s">
        <v>45</v>
      </c>
      <c r="E6" t="s">
        <v>46</v>
      </c>
      <c r="F6">
        <v>2016</v>
      </c>
      <c r="G6" t="s">
        <v>47</v>
      </c>
      <c r="J6" t="s">
        <v>24</v>
      </c>
      <c r="K6" t="s">
        <v>25</v>
      </c>
      <c r="L6" t="b">
        <v>1</v>
      </c>
      <c r="M6" t="s">
        <v>48</v>
      </c>
      <c r="P6" t="b">
        <v>0</v>
      </c>
      <c r="R6" t="str">
        <f>"9783990433706"</f>
        <v>9783990433706</v>
      </c>
      <c r="S6" t="str">
        <f>"9783035605938"</f>
        <v>9783035605938</v>
      </c>
    </row>
    <row r="7" spans="1:20" x14ac:dyDescent="0.3">
      <c r="A7">
        <v>1893480</v>
      </c>
      <c r="B7" t="s">
        <v>49</v>
      </c>
      <c r="C7" t="s">
        <v>50</v>
      </c>
      <c r="D7" t="s">
        <v>51</v>
      </c>
      <c r="E7" t="s">
        <v>51</v>
      </c>
      <c r="F7">
        <v>2007</v>
      </c>
      <c r="G7" t="s">
        <v>52</v>
      </c>
      <c r="H7" t="s">
        <v>53</v>
      </c>
      <c r="I7" t="s">
        <v>54</v>
      </c>
      <c r="J7" t="s">
        <v>24</v>
      </c>
      <c r="K7" t="s">
        <v>55</v>
      </c>
      <c r="L7" t="b">
        <v>1</v>
      </c>
      <c r="M7" t="s">
        <v>56</v>
      </c>
      <c r="N7" t="str">
        <f>"B"</f>
        <v>B</v>
      </c>
      <c r="O7" t="s">
        <v>57</v>
      </c>
      <c r="P7" t="b">
        <v>0</v>
      </c>
      <c r="R7" t="str">
        <f>"9780472032174"</f>
        <v>9780472032174</v>
      </c>
      <c r="S7" t="str">
        <f>"9780472125746"</f>
        <v>9780472125746</v>
      </c>
      <c r="T7">
        <v>608111519</v>
      </c>
    </row>
    <row r="8" spans="1:20" x14ac:dyDescent="0.3">
      <c r="A8">
        <v>1891849</v>
      </c>
      <c r="B8" t="s">
        <v>58</v>
      </c>
      <c r="D8" t="s">
        <v>38</v>
      </c>
      <c r="E8" t="s">
        <v>59</v>
      </c>
      <c r="F8">
        <v>2011</v>
      </c>
      <c r="G8" t="s">
        <v>60</v>
      </c>
      <c r="H8" t="s">
        <v>61</v>
      </c>
      <c r="J8" t="s">
        <v>24</v>
      </c>
      <c r="K8" t="s">
        <v>55</v>
      </c>
      <c r="L8" t="b">
        <v>1</v>
      </c>
      <c r="M8" t="s">
        <v>62</v>
      </c>
      <c r="N8" t="str">
        <f>"977.3/43"</f>
        <v>977.3/43</v>
      </c>
      <c r="P8" t="b">
        <v>0</v>
      </c>
      <c r="R8" t="str">
        <f>"9781560852148"</f>
        <v>9781560852148</v>
      </c>
      <c r="S8" t="str">
        <f>"9781560853237"</f>
        <v>9781560853237</v>
      </c>
      <c r="T8">
        <v>1052567052</v>
      </c>
    </row>
    <row r="9" spans="1:20" x14ac:dyDescent="0.3">
      <c r="A9">
        <v>1891846</v>
      </c>
      <c r="B9" t="s">
        <v>63</v>
      </c>
      <c r="D9" t="s">
        <v>64</v>
      </c>
      <c r="E9" t="s">
        <v>65</v>
      </c>
      <c r="F9">
        <v>2010</v>
      </c>
      <c r="G9" t="s">
        <v>66</v>
      </c>
      <c r="H9" t="s">
        <v>67</v>
      </c>
      <c r="I9" t="s">
        <v>68</v>
      </c>
      <c r="J9" t="s">
        <v>24</v>
      </c>
      <c r="K9" t="s">
        <v>25</v>
      </c>
      <c r="L9" t="b">
        <v>1</v>
      </c>
      <c r="M9" t="s">
        <v>69</v>
      </c>
      <c r="N9" t="str">
        <f>"305.892/40569109034"</f>
        <v>305.892/40569109034</v>
      </c>
      <c r="O9" t="s">
        <v>70</v>
      </c>
      <c r="P9" t="b">
        <v>0</v>
      </c>
      <c r="R9" t="str">
        <f>"9781904113652"</f>
        <v>9781904113652</v>
      </c>
      <c r="S9" t="str">
        <f>"9781909821071"</f>
        <v>9781909821071</v>
      </c>
      <c r="T9">
        <v>1039938104</v>
      </c>
    </row>
    <row r="10" spans="1:20" x14ac:dyDescent="0.3">
      <c r="A10">
        <v>1891844</v>
      </c>
      <c r="B10" t="s">
        <v>71</v>
      </c>
      <c r="C10" t="s">
        <v>72</v>
      </c>
      <c r="D10" t="s">
        <v>64</v>
      </c>
      <c r="E10" t="s">
        <v>65</v>
      </c>
      <c r="F10">
        <v>2005</v>
      </c>
      <c r="G10" t="s">
        <v>73</v>
      </c>
      <c r="H10" t="s">
        <v>74</v>
      </c>
      <c r="I10" t="s">
        <v>75</v>
      </c>
      <c r="J10" t="s">
        <v>24</v>
      </c>
      <c r="K10" t="s">
        <v>25</v>
      </c>
      <c r="L10" t="b">
        <v>1</v>
      </c>
      <c r="M10" t="s">
        <v>76</v>
      </c>
      <c r="N10" t="str">
        <f>"296/.09438/09034"</f>
        <v>296/.09438/09034</v>
      </c>
      <c r="O10" t="s">
        <v>77</v>
      </c>
      <c r="P10" t="b">
        <v>0</v>
      </c>
      <c r="R10" t="str">
        <f>"9781904113089"</f>
        <v>9781904113089</v>
      </c>
      <c r="S10" t="str">
        <f>"9781909821897"</f>
        <v>9781909821897</v>
      </c>
      <c r="T10">
        <v>607872994</v>
      </c>
    </row>
    <row r="11" spans="1:20" x14ac:dyDescent="0.3">
      <c r="A11">
        <v>1891843</v>
      </c>
      <c r="B11" t="s">
        <v>78</v>
      </c>
      <c r="D11" t="s">
        <v>64</v>
      </c>
      <c r="E11" t="s">
        <v>65</v>
      </c>
      <c r="F11">
        <v>2008</v>
      </c>
      <c r="G11" t="s">
        <v>73</v>
      </c>
      <c r="H11" t="s">
        <v>79</v>
      </c>
      <c r="I11" t="s">
        <v>80</v>
      </c>
      <c r="J11" t="s">
        <v>24</v>
      </c>
      <c r="K11" t="s">
        <v>25</v>
      </c>
      <c r="L11" t="b">
        <v>1</v>
      </c>
      <c r="M11" t="s">
        <v>81</v>
      </c>
      <c r="N11" t="str">
        <f>"296.8/332"</f>
        <v>296.8/332</v>
      </c>
      <c r="O11" t="s">
        <v>77</v>
      </c>
      <c r="P11" t="b">
        <v>0</v>
      </c>
      <c r="R11" t="str">
        <f>"9781904113072"</f>
        <v>9781904113072</v>
      </c>
      <c r="S11" t="str">
        <f>"9781909821095"</f>
        <v>9781909821095</v>
      </c>
      <c r="T11">
        <v>608583079</v>
      </c>
    </row>
    <row r="12" spans="1:20" x14ac:dyDescent="0.3">
      <c r="A12">
        <v>1891841</v>
      </c>
      <c r="B12" t="s">
        <v>82</v>
      </c>
      <c r="C12" t="s">
        <v>83</v>
      </c>
      <c r="D12" t="s">
        <v>64</v>
      </c>
      <c r="E12" t="s">
        <v>65</v>
      </c>
      <c r="F12">
        <v>2010</v>
      </c>
      <c r="G12" t="s">
        <v>84</v>
      </c>
      <c r="H12" t="s">
        <v>85</v>
      </c>
      <c r="I12" t="s">
        <v>86</v>
      </c>
      <c r="J12" t="s">
        <v>24</v>
      </c>
      <c r="K12" t="s">
        <v>25</v>
      </c>
      <c r="L12" t="b">
        <v>1</v>
      </c>
      <c r="M12" t="s">
        <v>87</v>
      </c>
      <c r="N12" t="str">
        <f>"296.712"</f>
        <v>296.712</v>
      </c>
      <c r="O12" t="s">
        <v>70</v>
      </c>
      <c r="P12" t="b">
        <v>0</v>
      </c>
      <c r="R12" t="str">
        <f>"9781874774679"</f>
        <v>9781874774679</v>
      </c>
      <c r="S12" t="str">
        <f>"9781786949882"</f>
        <v>9781786949882</v>
      </c>
      <c r="T12">
        <v>1039917929</v>
      </c>
    </row>
    <row r="13" spans="1:20" x14ac:dyDescent="0.3">
      <c r="A13">
        <v>1888212</v>
      </c>
      <c r="B13" t="s">
        <v>88</v>
      </c>
      <c r="D13" t="s">
        <v>89</v>
      </c>
      <c r="E13" t="s">
        <v>89</v>
      </c>
      <c r="F13">
        <v>1905</v>
      </c>
      <c r="J13" t="s">
        <v>24</v>
      </c>
      <c r="K13" t="s">
        <v>25</v>
      </c>
      <c r="L13" t="b">
        <v>1</v>
      </c>
      <c r="M13" t="s">
        <v>90</v>
      </c>
      <c r="P13" t="b">
        <v>0</v>
      </c>
      <c r="Q13" t="b">
        <v>0</v>
      </c>
      <c r="R13" t="str">
        <f>"9781909976603"</f>
        <v>9781909976603</v>
      </c>
      <c r="S13" t="str">
        <f>"9781910979617"</f>
        <v>9781910979617</v>
      </c>
    </row>
    <row r="14" spans="1:20" x14ac:dyDescent="0.3">
      <c r="A14">
        <v>1887942</v>
      </c>
      <c r="B14" t="s">
        <v>91</v>
      </c>
      <c r="C14" t="s">
        <v>92</v>
      </c>
      <c r="D14" t="s">
        <v>38</v>
      </c>
      <c r="E14" t="s">
        <v>39</v>
      </c>
      <c r="F14">
        <v>2001</v>
      </c>
      <c r="G14" t="s">
        <v>60</v>
      </c>
      <c r="H14" t="s">
        <v>93</v>
      </c>
      <c r="J14" t="s">
        <v>24</v>
      </c>
      <c r="K14" t="s">
        <v>25</v>
      </c>
      <c r="L14" t="b">
        <v>1</v>
      </c>
      <c r="M14" t="s">
        <v>94</v>
      </c>
      <c r="N14" t="str">
        <f>"975.04"</f>
        <v>975.04</v>
      </c>
      <c r="P14" t="b">
        <v>0</v>
      </c>
      <c r="R14" t="str">
        <f>"9781557287106"</f>
        <v>9781557287106</v>
      </c>
      <c r="S14" t="str">
        <f>"9781610756457"</f>
        <v>9781610756457</v>
      </c>
      <c r="T14">
        <v>1051770915</v>
      </c>
    </row>
    <row r="15" spans="1:20" x14ac:dyDescent="0.3">
      <c r="A15">
        <v>1887941</v>
      </c>
      <c r="B15" t="s">
        <v>95</v>
      </c>
      <c r="C15" t="s">
        <v>96</v>
      </c>
      <c r="D15" t="s">
        <v>38</v>
      </c>
      <c r="E15" t="s">
        <v>39</v>
      </c>
      <c r="F15">
        <v>1994</v>
      </c>
      <c r="G15" t="s">
        <v>97</v>
      </c>
      <c r="H15" t="s">
        <v>98</v>
      </c>
      <c r="I15" t="s">
        <v>99</v>
      </c>
      <c r="J15" t="s">
        <v>24</v>
      </c>
      <c r="K15" t="s">
        <v>25</v>
      </c>
      <c r="L15" t="b">
        <v>1</v>
      </c>
      <c r="M15" t="s">
        <v>100</v>
      </c>
      <c r="N15" t="str">
        <f>"974.4/6100497"</f>
        <v>974.4/6100497</v>
      </c>
      <c r="O15" t="s">
        <v>101</v>
      </c>
      <c r="P15" t="b">
        <v>0</v>
      </c>
      <c r="R15" t="str">
        <f>"9781557283016"</f>
        <v>9781557283016</v>
      </c>
      <c r="S15" t="str">
        <f>"9781610752930"</f>
        <v>9781610752930</v>
      </c>
      <c r="T15">
        <v>624426850</v>
      </c>
    </row>
    <row r="16" spans="1:20" x14ac:dyDescent="0.3">
      <c r="A16">
        <v>1887940</v>
      </c>
      <c r="B16" t="s">
        <v>102</v>
      </c>
      <c r="C16" t="s">
        <v>103</v>
      </c>
      <c r="D16" t="s">
        <v>38</v>
      </c>
      <c r="E16" t="s">
        <v>39</v>
      </c>
      <c r="F16">
        <v>1989</v>
      </c>
      <c r="G16" t="s">
        <v>104</v>
      </c>
      <c r="H16" t="s">
        <v>105</v>
      </c>
      <c r="J16" t="s">
        <v>24</v>
      </c>
      <c r="K16" t="s">
        <v>25</v>
      </c>
      <c r="L16" t="b">
        <v>1</v>
      </c>
      <c r="M16" t="s">
        <v>106</v>
      </c>
      <c r="N16" t="str">
        <f>"976.7"</f>
        <v>976.7</v>
      </c>
      <c r="P16" t="b">
        <v>1</v>
      </c>
      <c r="R16" t="str">
        <f>"9781557281098"</f>
        <v>9781557281098</v>
      </c>
      <c r="S16" t="str">
        <f>"9781610752206"</f>
        <v>9781610752206</v>
      </c>
      <c r="T16">
        <v>1051771992</v>
      </c>
    </row>
    <row r="17" spans="1:20" x14ac:dyDescent="0.3">
      <c r="A17">
        <v>1887938</v>
      </c>
      <c r="B17" t="s">
        <v>107</v>
      </c>
      <c r="C17" t="s">
        <v>108</v>
      </c>
      <c r="D17" t="s">
        <v>38</v>
      </c>
      <c r="E17" t="s">
        <v>39</v>
      </c>
      <c r="F17">
        <v>1987</v>
      </c>
      <c r="G17" t="s">
        <v>60</v>
      </c>
      <c r="H17" t="s">
        <v>109</v>
      </c>
      <c r="I17" t="s">
        <v>110</v>
      </c>
      <c r="J17" t="s">
        <v>24</v>
      </c>
      <c r="K17" t="s">
        <v>25</v>
      </c>
      <c r="L17" t="b">
        <v>1</v>
      </c>
      <c r="M17" t="s">
        <v>111</v>
      </c>
      <c r="N17" t="str">
        <f>"976.7"</f>
        <v>976.7</v>
      </c>
      <c r="P17" t="b">
        <v>0</v>
      </c>
      <c r="R17" t="str">
        <f>"9780938626596"</f>
        <v>9780938626596</v>
      </c>
      <c r="S17" t="str">
        <f>"9781610753395"</f>
        <v>9781610753395</v>
      </c>
      <c r="T17">
        <v>568076365</v>
      </c>
    </row>
    <row r="18" spans="1:20" x14ac:dyDescent="0.3">
      <c r="A18">
        <v>1887937</v>
      </c>
      <c r="B18" t="s">
        <v>112</v>
      </c>
      <c r="C18" t="s">
        <v>113</v>
      </c>
      <c r="D18" t="s">
        <v>38</v>
      </c>
      <c r="E18" t="s">
        <v>39</v>
      </c>
      <c r="F18">
        <v>1993</v>
      </c>
      <c r="G18" t="s">
        <v>114</v>
      </c>
      <c r="H18" t="s">
        <v>115</v>
      </c>
      <c r="I18" t="s">
        <v>116</v>
      </c>
      <c r="J18" t="s">
        <v>24</v>
      </c>
      <c r="K18" t="s">
        <v>25</v>
      </c>
      <c r="L18" t="b">
        <v>1</v>
      </c>
      <c r="M18" t="s">
        <v>117</v>
      </c>
      <c r="N18" t="str">
        <f>"788.7/165/092"</f>
        <v>788.7/165/092</v>
      </c>
      <c r="P18" t="b">
        <v>0</v>
      </c>
      <c r="R18" t="str">
        <f>"9781557282637"</f>
        <v>9781557282637</v>
      </c>
      <c r="S18" t="str">
        <f>"9781610753265"</f>
        <v>9781610753265</v>
      </c>
      <c r="T18">
        <v>681877032</v>
      </c>
    </row>
    <row r="19" spans="1:20" x14ac:dyDescent="0.3">
      <c r="A19">
        <v>1887936</v>
      </c>
      <c r="B19" t="s">
        <v>118</v>
      </c>
      <c r="C19" t="s">
        <v>119</v>
      </c>
      <c r="D19" t="s">
        <v>38</v>
      </c>
      <c r="E19" t="s">
        <v>39</v>
      </c>
      <c r="F19">
        <v>1997</v>
      </c>
      <c r="G19" t="s">
        <v>60</v>
      </c>
      <c r="H19" t="s">
        <v>120</v>
      </c>
      <c r="I19" t="s">
        <v>121</v>
      </c>
      <c r="J19" t="s">
        <v>24</v>
      </c>
      <c r="K19" t="s">
        <v>25</v>
      </c>
      <c r="L19" t="b">
        <v>1</v>
      </c>
      <c r="M19" t="s">
        <v>122</v>
      </c>
      <c r="N19" t="str">
        <f>"379.2/63/0976773"</f>
        <v>379.2/63/0976773</v>
      </c>
      <c r="P19" t="b">
        <v>0</v>
      </c>
      <c r="R19" t="str">
        <f>"9781557284563"</f>
        <v>9781557284563</v>
      </c>
      <c r="S19" t="str">
        <f>"9781610750837"</f>
        <v>9781610750837</v>
      </c>
      <c r="T19">
        <v>605250065</v>
      </c>
    </row>
    <row r="20" spans="1:20" x14ac:dyDescent="0.3">
      <c r="A20">
        <v>1886598</v>
      </c>
      <c r="B20" t="s">
        <v>123</v>
      </c>
      <c r="C20" t="s">
        <v>124</v>
      </c>
      <c r="D20" t="s">
        <v>38</v>
      </c>
      <c r="E20" t="s">
        <v>39</v>
      </c>
      <c r="F20">
        <v>1996</v>
      </c>
      <c r="G20" t="s">
        <v>125</v>
      </c>
      <c r="H20" t="s">
        <v>126</v>
      </c>
      <c r="I20" t="s">
        <v>127</v>
      </c>
      <c r="J20" t="s">
        <v>24</v>
      </c>
      <c r="K20" t="s">
        <v>25</v>
      </c>
      <c r="L20" t="b">
        <v>1</v>
      </c>
      <c r="M20" t="s">
        <v>128</v>
      </c>
      <c r="N20" t="str">
        <f>"811/.54"</f>
        <v>811/.54</v>
      </c>
      <c r="P20" t="b">
        <v>0</v>
      </c>
      <c r="R20" t="str">
        <f>"9781557284198"</f>
        <v>9781557284198</v>
      </c>
      <c r="S20" t="str">
        <f>"9781610752763"</f>
        <v>9781610752763</v>
      </c>
      <c r="T20">
        <v>604944197</v>
      </c>
    </row>
    <row r="21" spans="1:20" x14ac:dyDescent="0.3">
      <c r="A21">
        <v>1886597</v>
      </c>
      <c r="B21" t="s">
        <v>129</v>
      </c>
      <c r="C21" t="s">
        <v>130</v>
      </c>
      <c r="D21" t="s">
        <v>38</v>
      </c>
      <c r="E21" t="s">
        <v>39</v>
      </c>
      <c r="F21">
        <v>1999</v>
      </c>
      <c r="G21" t="s">
        <v>60</v>
      </c>
      <c r="H21" t="s">
        <v>131</v>
      </c>
      <c r="I21" t="s">
        <v>132</v>
      </c>
      <c r="J21" t="s">
        <v>24</v>
      </c>
      <c r="K21" t="s">
        <v>25</v>
      </c>
      <c r="L21" t="b">
        <v>1</v>
      </c>
      <c r="M21" t="s">
        <v>133</v>
      </c>
      <c r="N21" t="str">
        <f>"976.7/01"</f>
        <v>976.7/01</v>
      </c>
      <c r="P21" t="b">
        <v>0</v>
      </c>
      <c r="R21" t="str">
        <f>"9781557285713"</f>
        <v>9781557285713</v>
      </c>
      <c r="S21" t="str">
        <f>"9781610750295"</f>
        <v>9781610750295</v>
      </c>
      <c r="T21">
        <v>609350684</v>
      </c>
    </row>
    <row r="22" spans="1:20" x14ac:dyDescent="0.3">
      <c r="A22">
        <v>1886070</v>
      </c>
      <c r="B22" t="s">
        <v>134</v>
      </c>
      <c r="D22" t="s">
        <v>64</v>
      </c>
      <c r="E22" t="s">
        <v>135</v>
      </c>
      <c r="F22">
        <v>2006</v>
      </c>
      <c r="G22" t="s">
        <v>136</v>
      </c>
      <c r="H22" t="s">
        <v>137</v>
      </c>
      <c r="J22" t="s">
        <v>24</v>
      </c>
      <c r="K22" t="s">
        <v>25</v>
      </c>
      <c r="L22" t="b">
        <v>1</v>
      </c>
      <c r="M22" t="s">
        <v>138</v>
      </c>
      <c r="N22" t="str">
        <f>"821.912"</f>
        <v>821.912</v>
      </c>
      <c r="O22" t="s">
        <v>139</v>
      </c>
      <c r="P22" t="b">
        <v>0</v>
      </c>
      <c r="R22" t="str">
        <f>"9780746309377"</f>
        <v>9780746309377</v>
      </c>
      <c r="S22" t="str">
        <f>"9781786946386"</f>
        <v>9781786946386</v>
      </c>
      <c r="T22">
        <v>1051221817</v>
      </c>
    </row>
    <row r="23" spans="1:20" x14ac:dyDescent="0.3">
      <c r="A23">
        <v>1886069</v>
      </c>
      <c r="B23" t="s">
        <v>140</v>
      </c>
      <c r="D23" t="s">
        <v>64</v>
      </c>
      <c r="E23" t="s">
        <v>135</v>
      </c>
      <c r="F23">
        <v>2004</v>
      </c>
      <c r="G23" t="s">
        <v>136</v>
      </c>
      <c r="H23" t="s">
        <v>141</v>
      </c>
      <c r="I23" t="s">
        <v>142</v>
      </c>
      <c r="J23" t="s">
        <v>24</v>
      </c>
      <c r="K23" t="s">
        <v>25</v>
      </c>
      <c r="L23" t="b">
        <v>1</v>
      </c>
      <c r="M23" t="s">
        <v>143</v>
      </c>
      <c r="N23" t="str">
        <f>"823.912"</f>
        <v>823.912</v>
      </c>
      <c r="O23" t="s">
        <v>139</v>
      </c>
      <c r="P23" t="b">
        <v>0</v>
      </c>
      <c r="R23" t="str">
        <f>"9780746307212"</f>
        <v>9780746307212</v>
      </c>
      <c r="S23" t="str">
        <f>"9781786946461"</f>
        <v>9781786946461</v>
      </c>
      <c r="T23">
        <v>1051221816</v>
      </c>
    </row>
    <row r="24" spans="1:20" x14ac:dyDescent="0.3">
      <c r="A24">
        <v>1886067</v>
      </c>
      <c r="B24" t="s">
        <v>144</v>
      </c>
      <c r="D24" t="s">
        <v>64</v>
      </c>
      <c r="E24" t="s">
        <v>135</v>
      </c>
      <c r="F24">
        <v>2012</v>
      </c>
      <c r="G24" t="s">
        <v>145</v>
      </c>
      <c r="H24" t="s">
        <v>146</v>
      </c>
      <c r="J24" t="s">
        <v>24</v>
      </c>
      <c r="K24" t="s">
        <v>25</v>
      </c>
      <c r="L24" t="b">
        <v>1</v>
      </c>
      <c r="M24" t="s">
        <v>147</v>
      </c>
      <c r="N24" t="str">
        <f>"823.912"</f>
        <v>823.912</v>
      </c>
      <c r="O24" t="s">
        <v>139</v>
      </c>
      <c r="P24" t="b">
        <v>0</v>
      </c>
      <c r="R24" t="str">
        <f>"9780746312100"</f>
        <v>9780746312100</v>
      </c>
      <c r="S24" t="str">
        <f>"9781786942753"</f>
        <v>9781786942753</v>
      </c>
      <c r="T24">
        <v>1051222063</v>
      </c>
    </row>
    <row r="25" spans="1:20" x14ac:dyDescent="0.3">
      <c r="A25">
        <v>1886022</v>
      </c>
      <c r="B25" t="s">
        <v>148</v>
      </c>
      <c r="D25" t="s">
        <v>64</v>
      </c>
      <c r="E25" t="s">
        <v>135</v>
      </c>
      <c r="F25">
        <v>2006</v>
      </c>
      <c r="G25" t="s">
        <v>149</v>
      </c>
      <c r="H25" t="s">
        <v>150</v>
      </c>
      <c r="J25" t="s">
        <v>24</v>
      </c>
      <c r="K25" t="s">
        <v>25</v>
      </c>
      <c r="L25" t="b">
        <v>1</v>
      </c>
      <c r="M25" t="s">
        <v>151</v>
      </c>
      <c r="N25" t="str">
        <f>"821.6"</f>
        <v>821.6</v>
      </c>
      <c r="O25" t="s">
        <v>139</v>
      </c>
      <c r="P25" t="b">
        <v>0</v>
      </c>
      <c r="R25" t="str">
        <f>"9780746311721"</f>
        <v>9780746311721</v>
      </c>
      <c r="S25" t="str">
        <f>"9781786945945"</f>
        <v>9781786945945</v>
      </c>
      <c r="T25">
        <v>1051222044</v>
      </c>
    </row>
    <row r="26" spans="1:20" x14ac:dyDescent="0.3">
      <c r="A26">
        <v>1886021</v>
      </c>
      <c r="B26" t="s">
        <v>152</v>
      </c>
      <c r="D26" t="s">
        <v>64</v>
      </c>
      <c r="E26" t="s">
        <v>135</v>
      </c>
      <c r="F26">
        <v>2011</v>
      </c>
      <c r="G26" t="s">
        <v>145</v>
      </c>
      <c r="H26" t="s">
        <v>153</v>
      </c>
      <c r="J26" t="s">
        <v>24</v>
      </c>
      <c r="K26" t="s">
        <v>25</v>
      </c>
      <c r="L26" t="b">
        <v>1</v>
      </c>
      <c r="M26" t="s">
        <v>154</v>
      </c>
      <c r="N26" t="str">
        <f>"823/.912"</f>
        <v>823/.912</v>
      </c>
      <c r="O26" t="s">
        <v>139</v>
      </c>
      <c r="P26" t="b">
        <v>0</v>
      </c>
      <c r="R26" t="str">
        <f>"9780746309797"</f>
        <v>9780746309797</v>
      </c>
      <c r="S26" t="str">
        <f>"9781786945976"</f>
        <v>9781786945976</v>
      </c>
      <c r="T26">
        <v>1051222043</v>
      </c>
    </row>
    <row r="27" spans="1:20" x14ac:dyDescent="0.3">
      <c r="A27">
        <v>1886020</v>
      </c>
      <c r="B27" t="s">
        <v>155</v>
      </c>
      <c r="D27" t="s">
        <v>64</v>
      </c>
      <c r="E27" t="s">
        <v>135</v>
      </c>
      <c r="F27">
        <v>2012</v>
      </c>
      <c r="G27" t="s">
        <v>136</v>
      </c>
      <c r="H27" t="s">
        <v>156</v>
      </c>
      <c r="J27" t="s">
        <v>24</v>
      </c>
      <c r="K27" t="s">
        <v>25</v>
      </c>
      <c r="L27" t="b">
        <v>1</v>
      </c>
      <c r="M27" t="s">
        <v>157</v>
      </c>
      <c r="N27" t="str">
        <f>"823.914"</f>
        <v>823.914</v>
      </c>
      <c r="O27" t="s">
        <v>139</v>
      </c>
      <c r="P27" t="b">
        <v>0</v>
      </c>
      <c r="R27" t="str">
        <f>"9780746307977"</f>
        <v>9780746307977</v>
      </c>
      <c r="S27" t="str">
        <f>"9781786946331"</f>
        <v>9781786946331</v>
      </c>
      <c r="T27">
        <v>1051222042</v>
      </c>
    </row>
    <row r="28" spans="1:20" x14ac:dyDescent="0.3">
      <c r="A28">
        <v>1886019</v>
      </c>
      <c r="B28" t="s">
        <v>158</v>
      </c>
      <c r="D28" t="s">
        <v>64</v>
      </c>
      <c r="E28" t="s">
        <v>135</v>
      </c>
      <c r="F28">
        <v>2003</v>
      </c>
      <c r="G28" t="s">
        <v>136</v>
      </c>
      <c r="H28" t="s">
        <v>159</v>
      </c>
      <c r="J28" t="s">
        <v>24</v>
      </c>
      <c r="K28" t="s">
        <v>25</v>
      </c>
      <c r="L28" t="b">
        <v>1</v>
      </c>
      <c r="M28" t="s">
        <v>160</v>
      </c>
      <c r="N28" t="str">
        <f>"823/.912"</f>
        <v>823/.912</v>
      </c>
      <c r="O28" t="s">
        <v>139</v>
      </c>
      <c r="P28" t="b">
        <v>0</v>
      </c>
      <c r="R28" t="str">
        <f>"9780746309087"</f>
        <v>9780746309087</v>
      </c>
      <c r="S28" t="str">
        <f>"9781786942432"</f>
        <v>9781786942432</v>
      </c>
      <c r="T28">
        <v>1051221824</v>
      </c>
    </row>
    <row r="29" spans="1:20" x14ac:dyDescent="0.3">
      <c r="A29">
        <v>1886017</v>
      </c>
      <c r="B29" t="s">
        <v>161</v>
      </c>
      <c r="D29" t="s">
        <v>64</v>
      </c>
      <c r="E29" t="s">
        <v>135</v>
      </c>
      <c r="F29">
        <v>2005</v>
      </c>
      <c r="G29" t="s">
        <v>145</v>
      </c>
      <c r="H29" t="s">
        <v>162</v>
      </c>
      <c r="J29" t="s">
        <v>24</v>
      </c>
      <c r="K29" t="s">
        <v>25</v>
      </c>
      <c r="L29" t="b">
        <v>1</v>
      </c>
      <c r="M29" t="s">
        <v>163</v>
      </c>
      <c r="N29" t="str">
        <f>"823/.914"</f>
        <v>823/.914</v>
      </c>
      <c r="O29" t="s">
        <v>139</v>
      </c>
      <c r="P29" t="b">
        <v>0</v>
      </c>
      <c r="R29" t="str">
        <f>"9780746309841"</f>
        <v>9780746309841</v>
      </c>
      <c r="S29" t="str">
        <f>"9781786946546"</f>
        <v>9781786946546</v>
      </c>
      <c r="T29">
        <v>1051221822</v>
      </c>
    </row>
    <row r="30" spans="1:20" x14ac:dyDescent="0.3">
      <c r="A30">
        <v>1886016</v>
      </c>
      <c r="B30" t="s">
        <v>164</v>
      </c>
      <c r="D30" t="s">
        <v>64</v>
      </c>
      <c r="E30" t="s">
        <v>135</v>
      </c>
      <c r="F30">
        <v>2005</v>
      </c>
      <c r="G30" t="s">
        <v>136</v>
      </c>
      <c r="H30" t="s">
        <v>165</v>
      </c>
      <c r="J30" t="s">
        <v>24</v>
      </c>
      <c r="K30" t="s">
        <v>25</v>
      </c>
      <c r="L30" t="b">
        <v>1</v>
      </c>
      <c r="M30" t="s">
        <v>166</v>
      </c>
      <c r="N30" t="str">
        <f>"823/.914"</f>
        <v>823/.914</v>
      </c>
      <c r="O30" t="s">
        <v>139</v>
      </c>
      <c r="P30" t="b">
        <v>0</v>
      </c>
      <c r="R30" t="str">
        <f>"9780746309988"</f>
        <v>9780746309988</v>
      </c>
      <c r="S30" t="str">
        <f>"9781786946553"</f>
        <v>9781786946553</v>
      </c>
      <c r="T30">
        <v>1051221821</v>
      </c>
    </row>
    <row r="31" spans="1:20" x14ac:dyDescent="0.3">
      <c r="A31">
        <v>1886012</v>
      </c>
      <c r="B31" t="s">
        <v>167</v>
      </c>
      <c r="D31" t="s">
        <v>64</v>
      </c>
      <c r="E31" t="s">
        <v>135</v>
      </c>
      <c r="F31">
        <v>2009</v>
      </c>
      <c r="G31" t="s">
        <v>149</v>
      </c>
      <c r="H31" t="s">
        <v>168</v>
      </c>
      <c r="J31" t="s">
        <v>24</v>
      </c>
      <c r="K31" t="s">
        <v>25</v>
      </c>
      <c r="L31" t="b">
        <v>1</v>
      </c>
      <c r="M31" t="s">
        <v>169</v>
      </c>
      <c r="N31" t="str">
        <f>"821/.914"</f>
        <v>821/.914</v>
      </c>
      <c r="O31" t="s">
        <v>139</v>
      </c>
      <c r="P31" t="b">
        <v>0</v>
      </c>
      <c r="R31" t="str">
        <f>"9780746307830"</f>
        <v>9780746307830</v>
      </c>
      <c r="S31" t="str">
        <f>"9781786946355"</f>
        <v>9781786946355</v>
      </c>
      <c r="T31">
        <v>1051222038</v>
      </c>
    </row>
    <row r="32" spans="1:20" x14ac:dyDescent="0.3">
      <c r="A32">
        <v>1886010</v>
      </c>
      <c r="B32" t="s">
        <v>170</v>
      </c>
      <c r="D32" t="s">
        <v>64</v>
      </c>
      <c r="E32" t="s">
        <v>135</v>
      </c>
      <c r="F32">
        <v>2003</v>
      </c>
      <c r="G32" t="s">
        <v>145</v>
      </c>
      <c r="H32" t="s">
        <v>171</v>
      </c>
      <c r="J32" t="s">
        <v>24</v>
      </c>
      <c r="K32" t="s">
        <v>25</v>
      </c>
      <c r="L32" t="b">
        <v>1</v>
      </c>
      <c r="M32" t="s">
        <v>172</v>
      </c>
      <c r="N32" t="str">
        <f>"821/.4"</f>
        <v>821/.4</v>
      </c>
      <c r="O32" t="s">
        <v>139</v>
      </c>
      <c r="P32" t="b">
        <v>0</v>
      </c>
      <c r="R32" t="str">
        <f>"9780746310045"</f>
        <v>9780746310045</v>
      </c>
      <c r="S32" t="str">
        <f>"9781786942395"</f>
        <v>9781786942395</v>
      </c>
      <c r="T32">
        <v>1051222036</v>
      </c>
    </row>
    <row r="33" spans="1:20" x14ac:dyDescent="0.3">
      <c r="A33">
        <v>1886009</v>
      </c>
      <c r="B33" t="s">
        <v>173</v>
      </c>
      <c r="D33" t="s">
        <v>64</v>
      </c>
      <c r="E33" t="s">
        <v>135</v>
      </c>
      <c r="F33">
        <v>2010</v>
      </c>
      <c r="G33" t="s">
        <v>174</v>
      </c>
      <c r="H33" t="s">
        <v>175</v>
      </c>
      <c r="J33" t="s">
        <v>24</v>
      </c>
      <c r="K33" t="s">
        <v>25</v>
      </c>
      <c r="L33" t="b">
        <v>1</v>
      </c>
      <c r="M33" t="s">
        <v>176</v>
      </c>
      <c r="N33" t="str">
        <f>"821.914"</f>
        <v>821.914</v>
      </c>
      <c r="O33" t="s">
        <v>139</v>
      </c>
      <c r="P33" t="b">
        <v>0</v>
      </c>
      <c r="R33" t="str">
        <f>"9780746308523"</f>
        <v>9780746308523</v>
      </c>
      <c r="S33" t="str">
        <f>"9781786942494"</f>
        <v>9781786942494</v>
      </c>
      <c r="T33">
        <v>1051222035</v>
      </c>
    </row>
    <row r="34" spans="1:20" x14ac:dyDescent="0.3">
      <c r="A34">
        <v>1886008</v>
      </c>
      <c r="B34" t="s">
        <v>177</v>
      </c>
      <c r="D34" t="s">
        <v>64</v>
      </c>
      <c r="E34" t="s">
        <v>135</v>
      </c>
      <c r="F34">
        <v>2010</v>
      </c>
      <c r="G34" t="s">
        <v>136</v>
      </c>
      <c r="H34" t="s">
        <v>178</v>
      </c>
      <c r="J34" t="s">
        <v>24</v>
      </c>
      <c r="K34" t="s">
        <v>25</v>
      </c>
      <c r="L34" t="b">
        <v>1</v>
      </c>
      <c r="M34" t="s">
        <v>179</v>
      </c>
      <c r="N34" t="str">
        <f>"822.914"</f>
        <v>822.914</v>
      </c>
      <c r="O34" t="s">
        <v>139</v>
      </c>
      <c r="P34" t="b">
        <v>0</v>
      </c>
      <c r="R34" t="str">
        <f>"9780746308363"</f>
        <v>9780746308363</v>
      </c>
      <c r="S34" t="str">
        <f>"9781786942517"</f>
        <v>9781786942517</v>
      </c>
      <c r="T34">
        <v>1051222034</v>
      </c>
    </row>
    <row r="35" spans="1:20" x14ac:dyDescent="0.3">
      <c r="A35">
        <v>1886007</v>
      </c>
      <c r="B35" t="s">
        <v>180</v>
      </c>
      <c r="D35" t="s">
        <v>64</v>
      </c>
      <c r="E35" t="s">
        <v>135</v>
      </c>
      <c r="F35">
        <v>2007</v>
      </c>
      <c r="G35" t="s">
        <v>145</v>
      </c>
      <c r="H35" t="s">
        <v>181</v>
      </c>
      <c r="I35" t="s">
        <v>182</v>
      </c>
      <c r="J35" t="s">
        <v>24</v>
      </c>
      <c r="K35" t="s">
        <v>25</v>
      </c>
      <c r="L35" t="b">
        <v>1</v>
      </c>
      <c r="M35" t="s">
        <v>183</v>
      </c>
      <c r="N35" t="str">
        <f>"828.91409"</f>
        <v>828.91409</v>
      </c>
      <c r="O35" t="s">
        <v>139</v>
      </c>
      <c r="P35" t="b">
        <v>0</v>
      </c>
      <c r="R35" t="str">
        <f>"9780746309568"</f>
        <v>9780746309568</v>
      </c>
      <c r="S35" t="str">
        <f>"9781786942524"</f>
        <v>9781786942524</v>
      </c>
      <c r="T35">
        <v>1051222033</v>
      </c>
    </row>
    <row r="36" spans="1:20" x14ac:dyDescent="0.3">
      <c r="A36">
        <v>1886006</v>
      </c>
      <c r="B36" t="s">
        <v>184</v>
      </c>
      <c r="C36" t="s">
        <v>185</v>
      </c>
      <c r="D36" t="s">
        <v>64</v>
      </c>
      <c r="E36" t="s">
        <v>135</v>
      </c>
      <c r="F36">
        <v>2012</v>
      </c>
      <c r="G36" t="s">
        <v>186</v>
      </c>
      <c r="H36" t="s">
        <v>187</v>
      </c>
      <c r="I36" t="s">
        <v>188</v>
      </c>
      <c r="J36" t="s">
        <v>24</v>
      </c>
      <c r="K36" t="s">
        <v>25</v>
      </c>
      <c r="L36" t="b">
        <v>1</v>
      </c>
      <c r="M36" t="s">
        <v>189</v>
      </c>
      <c r="N36" t="str">
        <f>"820.99282"</f>
        <v>820.99282</v>
      </c>
      <c r="O36" t="s">
        <v>139</v>
      </c>
      <c r="P36" t="b">
        <v>0</v>
      </c>
      <c r="R36" t="str">
        <f>"9780746307281"</f>
        <v>9780746307281</v>
      </c>
      <c r="S36" t="str">
        <f>"9781786942562"</f>
        <v>9781786942562</v>
      </c>
      <c r="T36">
        <v>1051222032</v>
      </c>
    </row>
    <row r="37" spans="1:20" x14ac:dyDescent="0.3">
      <c r="A37">
        <v>1886005</v>
      </c>
      <c r="B37" t="s">
        <v>190</v>
      </c>
      <c r="C37" t="s">
        <v>191</v>
      </c>
      <c r="D37" t="s">
        <v>64</v>
      </c>
      <c r="E37" t="s">
        <v>135</v>
      </c>
      <c r="F37">
        <v>2013</v>
      </c>
      <c r="G37" t="s">
        <v>145</v>
      </c>
      <c r="H37" t="s">
        <v>192</v>
      </c>
      <c r="I37" t="s">
        <v>193</v>
      </c>
      <c r="J37" t="s">
        <v>24</v>
      </c>
      <c r="K37" t="s">
        <v>25</v>
      </c>
      <c r="L37" t="b">
        <v>1</v>
      </c>
      <c r="M37" t="s">
        <v>194</v>
      </c>
      <c r="N37" t="str">
        <f>"809.3872"</f>
        <v>809.3872</v>
      </c>
      <c r="O37" t="s">
        <v>139</v>
      </c>
      <c r="P37" t="b">
        <v>0</v>
      </c>
      <c r="R37" t="str">
        <f>"9780746308547"</f>
        <v>9780746308547</v>
      </c>
      <c r="S37" t="str">
        <f>"9781786942586"</f>
        <v>9781786942586</v>
      </c>
      <c r="T37">
        <v>1051222031</v>
      </c>
    </row>
    <row r="38" spans="1:20" x14ac:dyDescent="0.3">
      <c r="A38">
        <v>1886003</v>
      </c>
      <c r="B38" t="s">
        <v>195</v>
      </c>
      <c r="D38" t="s">
        <v>64</v>
      </c>
      <c r="E38" t="s">
        <v>135</v>
      </c>
      <c r="F38">
        <v>2007</v>
      </c>
      <c r="G38" t="s">
        <v>136</v>
      </c>
      <c r="H38" t="s">
        <v>196</v>
      </c>
      <c r="I38" t="s">
        <v>197</v>
      </c>
      <c r="J38" t="s">
        <v>24</v>
      </c>
      <c r="K38" t="s">
        <v>25</v>
      </c>
      <c r="L38" t="b">
        <v>1</v>
      </c>
      <c r="M38" t="s">
        <v>198</v>
      </c>
      <c r="N38" t="str">
        <f>"823/.914"</f>
        <v>823/.914</v>
      </c>
      <c r="O38" t="s">
        <v>139</v>
      </c>
      <c r="P38" t="b">
        <v>0</v>
      </c>
      <c r="R38" t="str">
        <f>"9780746307274"</f>
        <v>9780746307274</v>
      </c>
      <c r="S38" t="str">
        <f>"9781786942883"</f>
        <v>9781786942883</v>
      </c>
      <c r="T38">
        <v>1051222029</v>
      </c>
    </row>
    <row r="39" spans="1:20" x14ac:dyDescent="0.3">
      <c r="A39">
        <v>1886002</v>
      </c>
      <c r="B39" t="s">
        <v>199</v>
      </c>
      <c r="D39" t="s">
        <v>64</v>
      </c>
      <c r="E39" t="s">
        <v>135</v>
      </c>
      <c r="F39">
        <v>2005</v>
      </c>
      <c r="G39" t="s">
        <v>136</v>
      </c>
      <c r="H39" t="s">
        <v>200</v>
      </c>
      <c r="J39" t="s">
        <v>24</v>
      </c>
      <c r="K39" t="s">
        <v>25</v>
      </c>
      <c r="L39" t="b">
        <v>1</v>
      </c>
      <c r="M39" t="s">
        <v>201</v>
      </c>
      <c r="N39" t="str">
        <f>"823.914"</f>
        <v>823.914</v>
      </c>
      <c r="O39" t="s">
        <v>139</v>
      </c>
      <c r="P39" t="b">
        <v>0</v>
      </c>
      <c r="R39" t="str">
        <f>"9780746309834"</f>
        <v>9780746309834</v>
      </c>
      <c r="S39" t="str">
        <f>"9781786942913"</f>
        <v>9781786942913</v>
      </c>
      <c r="T39">
        <v>1051222028</v>
      </c>
    </row>
    <row r="40" spans="1:20" x14ac:dyDescent="0.3">
      <c r="A40">
        <v>1886001</v>
      </c>
      <c r="B40" t="s">
        <v>202</v>
      </c>
      <c r="D40" t="s">
        <v>64</v>
      </c>
      <c r="E40" t="s">
        <v>135</v>
      </c>
      <c r="F40">
        <v>2007</v>
      </c>
      <c r="G40" t="s">
        <v>203</v>
      </c>
      <c r="H40" t="s">
        <v>204</v>
      </c>
      <c r="I40" t="s">
        <v>205</v>
      </c>
      <c r="J40" t="s">
        <v>24</v>
      </c>
      <c r="K40" t="s">
        <v>25</v>
      </c>
      <c r="L40" t="b">
        <v>1</v>
      </c>
      <c r="M40" t="s">
        <v>206</v>
      </c>
      <c r="N40" t="str">
        <f>"822/.4"</f>
        <v>822/.4</v>
      </c>
      <c r="O40" t="s">
        <v>207</v>
      </c>
      <c r="P40" t="b">
        <v>1</v>
      </c>
      <c r="R40" t="str">
        <f>"9780746307045"</f>
        <v>9780746307045</v>
      </c>
      <c r="S40" t="str">
        <f>"9781786942944"</f>
        <v>9781786942944</v>
      </c>
      <c r="T40">
        <v>1051222027</v>
      </c>
    </row>
    <row r="41" spans="1:20" x14ac:dyDescent="0.3">
      <c r="A41">
        <v>1885997</v>
      </c>
      <c r="B41" t="s">
        <v>208</v>
      </c>
      <c r="D41" t="s">
        <v>64</v>
      </c>
      <c r="E41" t="s">
        <v>135</v>
      </c>
      <c r="F41">
        <v>2006</v>
      </c>
      <c r="G41" t="s">
        <v>145</v>
      </c>
      <c r="H41" t="s">
        <v>209</v>
      </c>
      <c r="J41" t="s">
        <v>24</v>
      </c>
      <c r="K41" t="s">
        <v>25</v>
      </c>
      <c r="L41" t="b">
        <v>1</v>
      </c>
      <c r="M41" t="s">
        <v>210</v>
      </c>
      <c r="N41" t="str">
        <f>"823.8"</f>
        <v>823.8</v>
      </c>
      <c r="O41" t="s">
        <v>139</v>
      </c>
      <c r="P41" t="b">
        <v>0</v>
      </c>
      <c r="R41" t="str">
        <f>"9780746309681"</f>
        <v>9780746309681</v>
      </c>
      <c r="S41" t="str">
        <f>"9781786942999"</f>
        <v>9781786942999</v>
      </c>
      <c r="T41">
        <v>607374685</v>
      </c>
    </row>
    <row r="42" spans="1:20" x14ac:dyDescent="0.3">
      <c r="A42">
        <v>1885995</v>
      </c>
      <c r="B42" t="s">
        <v>211</v>
      </c>
      <c r="D42" t="s">
        <v>64</v>
      </c>
      <c r="E42" t="s">
        <v>135</v>
      </c>
      <c r="F42">
        <v>2011</v>
      </c>
      <c r="G42" t="s">
        <v>212</v>
      </c>
      <c r="H42" t="s">
        <v>213</v>
      </c>
      <c r="I42" t="s">
        <v>214</v>
      </c>
      <c r="J42" t="s">
        <v>24</v>
      </c>
      <c r="K42" t="s">
        <v>25</v>
      </c>
      <c r="L42" t="b">
        <v>1</v>
      </c>
      <c r="M42" t="s">
        <v>215</v>
      </c>
      <c r="N42" t="str">
        <f>"818/.5409"</f>
        <v>818/.5409</v>
      </c>
      <c r="O42" t="s">
        <v>139</v>
      </c>
      <c r="P42" t="b">
        <v>0</v>
      </c>
      <c r="R42" t="str">
        <f>"9780746312025"</f>
        <v>9780746312025</v>
      </c>
      <c r="S42" t="str">
        <f>"9781786946836"</f>
        <v>9781786946836</v>
      </c>
      <c r="T42">
        <v>854569476</v>
      </c>
    </row>
    <row r="43" spans="1:20" x14ac:dyDescent="0.3">
      <c r="A43">
        <v>1885993</v>
      </c>
      <c r="B43" t="s">
        <v>216</v>
      </c>
      <c r="D43" t="s">
        <v>64</v>
      </c>
      <c r="E43" t="s">
        <v>135</v>
      </c>
      <c r="F43">
        <v>2004</v>
      </c>
      <c r="G43" t="s">
        <v>145</v>
      </c>
      <c r="H43" t="s">
        <v>217</v>
      </c>
      <c r="J43" t="s">
        <v>24</v>
      </c>
      <c r="K43" t="s">
        <v>25</v>
      </c>
      <c r="L43" t="b">
        <v>1</v>
      </c>
      <c r="M43" t="s">
        <v>218</v>
      </c>
      <c r="N43" t="str">
        <f>"828.91409"</f>
        <v>828.91409</v>
      </c>
      <c r="O43" t="s">
        <v>139</v>
      </c>
      <c r="P43" t="b">
        <v>0</v>
      </c>
      <c r="R43" t="str">
        <f>"9780746309766"</f>
        <v>9780746309766</v>
      </c>
      <c r="S43" t="str">
        <f>"9781786942333"</f>
        <v>9781786942333</v>
      </c>
      <c r="T43">
        <v>607591097</v>
      </c>
    </row>
    <row r="44" spans="1:20" x14ac:dyDescent="0.3">
      <c r="A44">
        <v>1885992</v>
      </c>
      <c r="B44" t="s">
        <v>219</v>
      </c>
      <c r="D44" t="s">
        <v>64</v>
      </c>
      <c r="E44" t="s">
        <v>135</v>
      </c>
      <c r="F44">
        <v>2011</v>
      </c>
      <c r="G44" t="s">
        <v>220</v>
      </c>
      <c r="H44" t="s">
        <v>221</v>
      </c>
      <c r="I44" t="s">
        <v>222</v>
      </c>
      <c r="J44" t="s">
        <v>24</v>
      </c>
      <c r="K44" t="s">
        <v>25</v>
      </c>
      <c r="L44" t="b">
        <v>1</v>
      </c>
      <c r="M44" t="s">
        <v>223</v>
      </c>
      <c r="N44" t="str">
        <f>"823.914"</f>
        <v>823.914</v>
      </c>
      <c r="O44" t="s">
        <v>139</v>
      </c>
      <c r="P44" t="b">
        <v>0</v>
      </c>
      <c r="R44" t="str">
        <f>"9780746310113"</f>
        <v>9780746310113</v>
      </c>
      <c r="S44" t="str">
        <f>"9781786942340"</f>
        <v>9781786942340</v>
      </c>
      <c r="T44">
        <v>854569499</v>
      </c>
    </row>
    <row r="45" spans="1:20" x14ac:dyDescent="0.3">
      <c r="A45">
        <v>1885990</v>
      </c>
      <c r="B45" t="s">
        <v>224</v>
      </c>
      <c r="D45" t="s">
        <v>64</v>
      </c>
      <c r="E45" t="s">
        <v>135</v>
      </c>
      <c r="F45">
        <v>2006</v>
      </c>
      <c r="G45" t="s">
        <v>136</v>
      </c>
      <c r="H45" t="s">
        <v>225</v>
      </c>
      <c r="J45" t="s">
        <v>24</v>
      </c>
      <c r="K45" t="s">
        <v>25</v>
      </c>
      <c r="L45" t="b">
        <v>1</v>
      </c>
      <c r="M45" t="s">
        <v>226</v>
      </c>
      <c r="N45" t="str">
        <f>"823.914"</f>
        <v>823.914</v>
      </c>
      <c r="O45" t="s">
        <v>139</v>
      </c>
      <c r="P45" t="b">
        <v>0</v>
      </c>
      <c r="R45" t="str">
        <f>"9780746310120"</f>
        <v>9780746310120</v>
      </c>
      <c r="S45" t="str">
        <f>"9781786946713"</f>
        <v>9781786946713</v>
      </c>
      <c r="T45">
        <v>607639790</v>
      </c>
    </row>
    <row r="46" spans="1:20" x14ac:dyDescent="0.3">
      <c r="A46">
        <v>1885982</v>
      </c>
      <c r="B46" t="s">
        <v>227</v>
      </c>
      <c r="D46" t="s">
        <v>64</v>
      </c>
      <c r="E46" t="s">
        <v>135</v>
      </c>
      <c r="F46">
        <v>2008</v>
      </c>
      <c r="G46" t="s">
        <v>136</v>
      </c>
      <c r="H46" t="s">
        <v>228</v>
      </c>
      <c r="J46" t="s">
        <v>24</v>
      </c>
      <c r="K46" t="s">
        <v>25</v>
      </c>
      <c r="L46" t="b">
        <v>1</v>
      </c>
      <c r="M46" t="s">
        <v>229</v>
      </c>
      <c r="N46" t="str">
        <f>"821.8"</f>
        <v>821.8</v>
      </c>
      <c r="O46" t="s">
        <v>139</v>
      </c>
      <c r="P46" t="b">
        <v>0</v>
      </c>
      <c r="R46" t="str">
        <f>"9780746309469"</f>
        <v>9780746309469</v>
      </c>
      <c r="S46" t="str">
        <f>"9781786946584"</f>
        <v>9781786946584</v>
      </c>
      <c r="T46">
        <v>682101850</v>
      </c>
    </row>
    <row r="47" spans="1:20" x14ac:dyDescent="0.3">
      <c r="A47">
        <v>1885980</v>
      </c>
      <c r="B47" t="s">
        <v>230</v>
      </c>
      <c r="D47" t="s">
        <v>64</v>
      </c>
      <c r="E47" t="s">
        <v>135</v>
      </c>
      <c r="F47">
        <v>2010</v>
      </c>
      <c r="G47" t="s">
        <v>145</v>
      </c>
      <c r="H47" t="s">
        <v>231</v>
      </c>
      <c r="I47" t="s">
        <v>142</v>
      </c>
      <c r="J47" t="s">
        <v>24</v>
      </c>
      <c r="K47" t="s">
        <v>25</v>
      </c>
      <c r="L47" t="b">
        <v>1</v>
      </c>
      <c r="M47" t="s">
        <v>232</v>
      </c>
      <c r="N47" t="str">
        <f>"821.914"</f>
        <v>821.914</v>
      </c>
      <c r="O47" t="s">
        <v>139</v>
      </c>
      <c r="P47" t="b">
        <v>0</v>
      </c>
      <c r="R47" t="str">
        <f>"9780746310762"</f>
        <v>9780746310762</v>
      </c>
      <c r="S47" t="str">
        <f>"9781786945822"</f>
        <v>9781786945822</v>
      </c>
      <c r="T47">
        <v>854569482</v>
      </c>
    </row>
    <row r="48" spans="1:20" x14ac:dyDescent="0.3">
      <c r="A48">
        <v>1885977</v>
      </c>
      <c r="B48" t="s">
        <v>233</v>
      </c>
      <c r="D48" t="s">
        <v>64</v>
      </c>
      <c r="E48" t="s">
        <v>135</v>
      </c>
      <c r="F48">
        <v>2010</v>
      </c>
      <c r="G48" t="s">
        <v>145</v>
      </c>
      <c r="H48" t="s">
        <v>234</v>
      </c>
      <c r="J48" t="s">
        <v>24</v>
      </c>
      <c r="K48" t="s">
        <v>25</v>
      </c>
      <c r="L48" t="b">
        <v>1</v>
      </c>
      <c r="M48" t="s">
        <v>235</v>
      </c>
      <c r="N48" t="str">
        <f>"820.8003"</f>
        <v>820.8003</v>
      </c>
      <c r="O48" t="s">
        <v>139</v>
      </c>
      <c r="P48" t="b">
        <v>0</v>
      </c>
      <c r="R48" t="str">
        <f>"9780746311974"</f>
        <v>9780746311974</v>
      </c>
      <c r="S48" t="str">
        <f>"9781786946362"</f>
        <v>9781786946362</v>
      </c>
      <c r="T48">
        <v>1051221529</v>
      </c>
    </row>
    <row r="49" spans="1:20" x14ac:dyDescent="0.3">
      <c r="A49">
        <v>1885972</v>
      </c>
      <c r="B49" t="s">
        <v>236</v>
      </c>
      <c r="D49" t="s">
        <v>64</v>
      </c>
      <c r="E49" t="s">
        <v>135</v>
      </c>
      <c r="F49">
        <v>2008</v>
      </c>
      <c r="G49" t="s">
        <v>136</v>
      </c>
      <c r="H49" t="s">
        <v>237</v>
      </c>
      <c r="J49" t="s">
        <v>24</v>
      </c>
      <c r="K49" t="s">
        <v>25</v>
      </c>
      <c r="L49" t="b">
        <v>1</v>
      </c>
      <c r="M49" t="s">
        <v>238</v>
      </c>
      <c r="N49" t="str">
        <f>"821.914"</f>
        <v>821.914</v>
      </c>
      <c r="O49" t="s">
        <v>139</v>
      </c>
      <c r="P49" t="b">
        <v>0</v>
      </c>
      <c r="R49" t="str">
        <f>"9780746311646"</f>
        <v>9780746311646</v>
      </c>
      <c r="S49" t="str">
        <f>"9781786942951"</f>
        <v>9781786942951</v>
      </c>
      <c r="T49">
        <v>1051221985</v>
      </c>
    </row>
    <row r="50" spans="1:20" x14ac:dyDescent="0.3">
      <c r="A50">
        <v>1885969</v>
      </c>
      <c r="B50" t="s">
        <v>239</v>
      </c>
      <c r="D50" t="s">
        <v>64</v>
      </c>
      <c r="E50" t="s">
        <v>135</v>
      </c>
      <c r="F50">
        <v>2007</v>
      </c>
      <c r="G50" t="s">
        <v>136</v>
      </c>
      <c r="H50" t="s">
        <v>240</v>
      </c>
      <c r="I50" t="s">
        <v>241</v>
      </c>
      <c r="J50" t="s">
        <v>24</v>
      </c>
      <c r="K50" t="s">
        <v>25</v>
      </c>
      <c r="L50" t="b">
        <v>1</v>
      </c>
      <c r="M50" t="s">
        <v>242</v>
      </c>
      <c r="N50" t="str">
        <f>"823.914"</f>
        <v>823.914</v>
      </c>
      <c r="O50" t="s">
        <v>139</v>
      </c>
      <c r="P50" t="b">
        <v>0</v>
      </c>
      <c r="R50" t="str">
        <f>"9780746309865"</f>
        <v>9780746309865</v>
      </c>
      <c r="S50" t="str">
        <f>"9781786946805"</f>
        <v>9781786946805</v>
      </c>
      <c r="T50">
        <v>1051221996</v>
      </c>
    </row>
    <row r="51" spans="1:20" x14ac:dyDescent="0.3">
      <c r="A51">
        <v>1885372</v>
      </c>
      <c r="B51" t="s">
        <v>243</v>
      </c>
      <c r="C51" t="s">
        <v>244</v>
      </c>
      <c r="D51" t="s">
        <v>22</v>
      </c>
      <c r="E51" t="s">
        <v>22</v>
      </c>
      <c r="F51">
        <v>2012</v>
      </c>
      <c r="G51" t="s">
        <v>245</v>
      </c>
      <c r="J51" t="s">
        <v>24</v>
      </c>
      <c r="K51" t="s">
        <v>55</v>
      </c>
      <c r="L51" t="b">
        <v>1</v>
      </c>
      <c r="M51" t="s">
        <v>246</v>
      </c>
      <c r="P51" t="b">
        <v>0</v>
      </c>
      <c r="R51" t="str">
        <f>"9781868145447"</f>
        <v>9781868145447</v>
      </c>
      <c r="S51" t="str">
        <f>"9781868145959"</f>
        <v>9781868145959</v>
      </c>
    </row>
    <row r="52" spans="1:20" x14ac:dyDescent="0.3">
      <c r="A52">
        <v>1885369</v>
      </c>
      <c r="B52" t="s">
        <v>247</v>
      </c>
      <c r="C52" t="s">
        <v>248</v>
      </c>
      <c r="D52" t="s">
        <v>22</v>
      </c>
      <c r="E52" t="s">
        <v>22</v>
      </c>
      <c r="F52">
        <v>2010</v>
      </c>
      <c r="G52" t="s">
        <v>249</v>
      </c>
      <c r="J52" t="s">
        <v>24</v>
      </c>
      <c r="K52" t="s">
        <v>25</v>
      </c>
      <c r="L52" t="b">
        <v>1</v>
      </c>
      <c r="M52" t="s">
        <v>250</v>
      </c>
      <c r="P52" t="b">
        <v>0</v>
      </c>
      <c r="R52" t="str">
        <f>"9781868145164"</f>
        <v>9781868145164</v>
      </c>
      <c r="S52" t="str">
        <f>"9781868147144"</f>
        <v>9781868147144</v>
      </c>
    </row>
    <row r="53" spans="1:20" x14ac:dyDescent="0.3">
      <c r="A53">
        <v>1885362</v>
      </c>
      <c r="B53" t="s">
        <v>251</v>
      </c>
      <c r="C53" t="s">
        <v>252</v>
      </c>
      <c r="D53" t="s">
        <v>22</v>
      </c>
      <c r="E53" t="s">
        <v>22</v>
      </c>
      <c r="F53">
        <v>2010</v>
      </c>
      <c r="G53" t="s">
        <v>249</v>
      </c>
      <c r="J53" t="s">
        <v>24</v>
      </c>
      <c r="K53" t="s">
        <v>25</v>
      </c>
      <c r="L53" t="b">
        <v>1</v>
      </c>
      <c r="M53" t="s">
        <v>253</v>
      </c>
      <c r="P53" t="b">
        <v>0</v>
      </c>
      <c r="R53" t="str">
        <f>"9781868145027"</f>
        <v>9781868145027</v>
      </c>
      <c r="S53" t="str">
        <f>"9781776141449"</f>
        <v>9781776141449</v>
      </c>
    </row>
    <row r="54" spans="1:20" x14ac:dyDescent="0.3">
      <c r="A54">
        <v>1885353</v>
      </c>
      <c r="B54" t="s">
        <v>254</v>
      </c>
      <c r="C54" t="s">
        <v>255</v>
      </c>
      <c r="D54" t="s">
        <v>22</v>
      </c>
      <c r="E54" t="s">
        <v>22</v>
      </c>
      <c r="F54">
        <v>2011</v>
      </c>
      <c r="G54" t="s">
        <v>256</v>
      </c>
      <c r="J54" t="s">
        <v>24</v>
      </c>
      <c r="K54" t="s">
        <v>55</v>
      </c>
      <c r="L54" t="b">
        <v>1</v>
      </c>
      <c r="M54" t="s">
        <v>257</v>
      </c>
      <c r="P54" t="b">
        <v>0</v>
      </c>
      <c r="S54" t="str">
        <f>"9781776141173"</f>
        <v>9781776141173</v>
      </c>
    </row>
    <row r="55" spans="1:20" x14ac:dyDescent="0.3">
      <c r="A55">
        <v>1885346</v>
      </c>
      <c r="B55" t="s">
        <v>258</v>
      </c>
      <c r="D55" t="s">
        <v>22</v>
      </c>
      <c r="E55" t="s">
        <v>22</v>
      </c>
      <c r="F55">
        <v>2012</v>
      </c>
      <c r="G55" t="s">
        <v>259</v>
      </c>
      <c r="J55" t="s">
        <v>24</v>
      </c>
      <c r="K55" t="s">
        <v>25</v>
      </c>
      <c r="L55" t="b">
        <v>1</v>
      </c>
      <c r="M55" t="s">
        <v>260</v>
      </c>
      <c r="P55" t="b">
        <v>0</v>
      </c>
      <c r="R55" t="str">
        <f>"9781868145669"</f>
        <v>9781868145669</v>
      </c>
      <c r="S55" t="str">
        <f>"9781868145935"</f>
        <v>9781868145935</v>
      </c>
    </row>
    <row r="56" spans="1:20" x14ac:dyDescent="0.3">
      <c r="A56">
        <v>1885344</v>
      </c>
      <c r="B56" t="s">
        <v>261</v>
      </c>
      <c r="C56" t="s">
        <v>262</v>
      </c>
      <c r="D56" t="s">
        <v>22</v>
      </c>
      <c r="E56" t="s">
        <v>22</v>
      </c>
      <c r="F56">
        <v>2007</v>
      </c>
      <c r="G56" t="s">
        <v>29</v>
      </c>
      <c r="J56" t="s">
        <v>24</v>
      </c>
      <c r="K56" t="s">
        <v>25</v>
      </c>
      <c r="L56" t="b">
        <v>1</v>
      </c>
      <c r="M56" t="s">
        <v>263</v>
      </c>
      <c r="P56" t="b">
        <v>0</v>
      </c>
      <c r="S56" t="str">
        <f>"9781776142309"</f>
        <v>9781776142309</v>
      </c>
    </row>
    <row r="57" spans="1:20" x14ac:dyDescent="0.3">
      <c r="A57">
        <v>1885340</v>
      </c>
      <c r="B57" t="s">
        <v>264</v>
      </c>
      <c r="C57" t="s">
        <v>265</v>
      </c>
      <c r="D57" t="s">
        <v>22</v>
      </c>
      <c r="E57" t="s">
        <v>22</v>
      </c>
      <c r="F57">
        <v>2010</v>
      </c>
      <c r="G57" t="s">
        <v>29</v>
      </c>
      <c r="J57" t="s">
        <v>24</v>
      </c>
      <c r="K57" t="s">
        <v>25</v>
      </c>
      <c r="L57" t="b">
        <v>1</v>
      </c>
      <c r="M57" t="s">
        <v>266</v>
      </c>
      <c r="P57" t="b">
        <v>0</v>
      </c>
      <c r="R57" t="str">
        <f>"9781868145133"</f>
        <v>9781868145133</v>
      </c>
      <c r="S57" t="str">
        <f>"9781868147168"</f>
        <v>9781868147168</v>
      </c>
    </row>
    <row r="58" spans="1:20" x14ac:dyDescent="0.3">
      <c r="A58">
        <v>1885339</v>
      </c>
      <c r="B58" t="s">
        <v>267</v>
      </c>
      <c r="D58" t="s">
        <v>22</v>
      </c>
      <c r="E58" t="s">
        <v>22</v>
      </c>
      <c r="F58">
        <v>2008</v>
      </c>
      <c r="G58" t="s">
        <v>268</v>
      </c>
      <c r="J58" t="s">
        <v>24</v>
      </c>
      <c r="K58" t="s">
        <v>269</v>
      </c>
      <c r="L58" t="b">
        <v>1</v>
      </c>
      <c r="M58" t="s">
        <v>270</v>
      </c>
      <c r="P58" t="b">
        <v>0</v>
      </c>
      <c r="R58" t="str">
        <f>"9781868144709"</f>
        <v>9781868144709</v>
      </c>
      <c r="S58" t="str">
        <f>"9781776141265"</f>
        <v>9781776141265</v>
      </c>
    </row>
    <row r="59" spans="1:20" x14ac:dyDescent="0.3">
      <c r="A59">
        <v>1885337</v>
      </c>
      <c r="B59" t="s">
        <v>271</v>
      </c>
      <c r="C59" t="s">
        <v>272</v>
      </c>
      <c r="D59" t="s">
        <v>22</v>
      </c>
      <c r="E59" t="s">
        <v>22</v>
      </c>
      <c r="F59">
        <v>2016</v>
      </c>
      <c r="G59" t="s">
        <v>273</v>
      </c>
      <c r="J59" t="s">
        <v>24</v>
      </c>
      <c r="K59" t="s">
        <v>25</v>
      </c>
      <c r="L59" t="b">
        <v>1</v>
      </c>
      <c r="M59" t="s">
        <v>274</v>
      </c>
      <c r="P59" t="b">
        <v>1</v>
      </c>
      <c r="R59" t="str">
        <f>"9781868149742"</f>
        <v>9781868149742</v>
      </c>
      <c r="S59" t="str">
        <f>"9781776140046"</f>
        <v>9781776140046</v>
      </c>
    </row>
    <row r="60" spans="1:20" x14ac:dyDescent="0.3">
      <c r="A60">
        <v>1885326</v>
      </c>
      <c r="B60" t="s">
        <v>275</v>
      </c>
      <c r="C60" t="s">
        <v>276</v>
      </c>
      <c r="D60" t="s">
        <v>22</v>
      </c>
      <c r="E60" t="s">
        <v>22</v>
      </c>
      <c r="F60">
        <v>2010</v>
      </c>
      <c r="G60" t="s">
        <v>245</v>
      </c>
      <c r="J60" t="s">
        <v>24</v>
      </c>
      <c r="K60" t="s">
        <v>25</v>
      </c>
      <c r="L60" t="b">
        <v>1</v>
      </c>
      <c r="M60" t="s">
        <v>277</v>
      </c>
      <c r="P60" t="b">
        <v>0</v>
      </c>
      <c r="R60" t="str">
        <f>"9781868145065"</f>
        <v>9781868145065</v>
      </c>
      <c r="S60" t="str">
        <f>"9781868146222"</f>
        <v>9781868146222</v>
      </c>
    </row>
    <row r="61" spans="1:20" x14ac:dyDescent="0.3">
      <c r="A61">
        <v>1885319</v>
      </c>
      <c r="B61" t="s">
        <v>278</v>
      </c>
      <c r="C61" t="s">
        <v>279</v>
      </c>
      <c r="D61" t="s">
        <v>22</v>
      </c>
      <c r="E61" t="s">
        <v>22</v>
      </c>
      <c r="F61">
        <v>2016</v>
      </c>
      <c r="G61" t="s">
        <v>280</v>
      </c>
      <c r="J61" t="s">
        <v>24</v>
      </c>
      <c r="K61" t="s">
        <v>25</v>
      </c>
      <c r="L61" t="b">
        <v>1</v>
      </c>
      <c r="M61" t="s">
        <v>281</v>
      </c>
      <c r="P61" t="b">
        <v>0</v>
      </c>
      <c r="R61" t="str">
        <f>"9781868148622"</f>
        <v>9781868148622</v>
      </c>
      <c r="S61" t="str">
        <f>"9781868148639"</f>
        <v>9781868148639</v>
      </c>
    </row>
    <row r="62" spans="1:20" x14ac:dyDescent="0.3">
      <c r="A62">
        <v>1885318</v>
      </c>
      <c r="B62" t="s">
        <v>282</v>
      </c>
      <c r="C62" t="s">
        <v>283</v>
      </c>
      <c r="D62" t="s">
        <v>22</v>
      </c>
      <c r="E62" t="s">
        <v>22</v>
      </c>
      <c r="F62">
        <v>2013</v>
      </c>
      <c r="G62" t="s">
        <v>249</v>
      </c>
      <c r="J62" t="s">
        <v>24</v>
      </c>
      <c r="K62" t="s">
        <v>25</v>
      </c>
      <c r="L62" t="b">
        <v>1</v>
      </c>
      <c r="M62" t="s">
        <v>284</v>
      </c>
      <c r="P62" t="b">
        <v>0</v>
      </c>
      <c r="R62" t="str">
        <f>"9781868147359"</f>
        <v>9781868147359</v>
      </c>
      <c r="S62" t="str">
        <f>"9781868147366"</f>
        <v>9781868147366</v>
      </c>
    </row>
    <row r="63" spans="1:20" x14ac:dyDescent="0.3">
      <c r="A63">
        <v>1885316</v>
      </c>
      <c r="B63" t="s">
        <v>285</v>
      </c>
      <c r="C63" t="s">
        <v>286</v>
      </c>
      <c r="D63" t="s">
        <v>22</v>
      </c>
      <c r="E63" t="s">
        <v>22</v>
      </c>
      <c r="F63">
        <v>2012</v>
      </c>
      <c r="G63" t="s">
        <v>287</v>
      </c>
      <c r="J63" t="s">
        <v>24</v>
      </c>
      <c r="K63" t="s">
        <v>25</v>
      </c>
      <c r="L63" t="b">
        <v>1</v>
      </c>
      <c r="M63" t="s">
        <v>288</v>
      </c>
      <c r="P63" t="b">
        <v>0</v>
      </c>
      <c r="R63" t="str">
        <f>"9781868145409"</f>
        <v>9781868145409</v>
      </c>
      <c r="S63" t="str">
        <f>"9781868146253"</f>
        <v>9781868146253</v>
      </c>
    </row>
    <row r="64" spans="1:20" x14ac:dyDescent="0.3">
      <c r="A64">
        <v>1885302</v>
      </c>
      <c r="B64" t="s">
        <v>289</v>
      </c>
      <c r="C64" t="s">
        <v>290</v>
      </c>
      <c r="D64" t="s">
        <v>22</v>
      </c>
      <c r="E64" t="s">
        <v>22</v>
      </c>
      <c r="F64">
        <v>2014</v>
      </c>
      <c r="G64" t="s">
        <v>291</v>
      </c>
      <c r="J64" t="s">
        <v>24</v>
      </c>
      <c r="K64" t="s">
        <v>25</v>
      </c>
      <c r="L64" t="b">
        <v>1</v>
      </c>
      <c r="M64" t="s">
        <v>292</v>
      </c>
      <c r="P64" t="b">
        <v>0</v>
      </c>
      <c r="R64" t="str">
        <f>"9781868147380"</f>
        <v>9781868147380</v>
      </c>
      <c r="S64" t="str">
        <f>"9781868147397"</f>
        <v>9781868147397</v>
      </c>
    </row>
    <row r="65" spans="1:19" x14ac:dyDescent="0.3">
      <c r="A65">
        <v>1885300</v>
      </c>
      <c r="B65" t="s">
        <v>293</v>
      </c>
      <c r="C65" t="s">
        <v>294</v>
      </c>
      <c r="D65" t="s">
        <v>22</v>
      </c>
      <c r="E65" t="s">
        <v>22</v>
      </c>
      <c r="F65">
        <v>2016</v>
      </c>
      <c r="G65" t="s">
        <v>29</v>
      </c>
      <c r="J65" t="s">
        <v>24</v>
      </c>
      <c r="K65" t="s">
        <v>25</v>
      </c>
      <c r="L65" t="b">
        <v>1</v>
      </c>
      <c r="M65" t="s">
        <v>295</v>
      </c>
      <c r="P65" t="b">
        <v>0</v>
      </c>
      <c r="R65" t="str">
        <f>"9781776140343"</f>
        <v>9781776140343</v>
      </c>
      <c r="S65" t="str">
        <f>"9781776140350"</f>
        <v>9781776140350</v>
      </c>
    </row>
    <row r="66" spans="1:19" x14ac:dyDescent="0.3">
      <c r="A66">
        <v>1885294</v>
      </c>
      <c r="B66" t="s">
        <v>296</v>
      </c>
      <c r="C66" t="s">
        <v>297</v>
      </c>
      <c r="D66" t="s">
        <v>22</v>
      </c>
      <c r="E66" t="s">
        <v>22</v>
      </c>
      <c r="F66">
        <v>2015</v>
      </c>
      <c r="G66" t="s">
        <v>245</v>
      </c>
      <c r="J66" t="s">
        <v>24</v>
      </c>
      <c r="K66" t="s">
        <v>25</v>
      </c>
      <c r="L66" t="b">
        <v>1</v>
      </c>
      <c r="M66" t="s">
        <v>298</v>
      </c>
      <c r="P66" t="b">
        <v>0</v>
      </c>
      <c r="R66" t="str">
        <f>"9781868146871"</f>
        <v>9781868146871</v>
      </c>
      <c r="S66" t="str">
        <f>"9781868146888"</f>
        <v>9781868146888</v>
      </c>
    </row>
    <row r="67" spans="1:19" x14ac:dyDescent="0.3">
      <c r="A67">
        <v>1885291</v>
      </c>
      <c r="B67" t="s">
        <v>299</v>
      </c>
      <c r="C67" t="s">
        <v>300</v>
      </c>
      <c r="D67" t="s">
        <v>22</v>
      </c>
      <c r="E67" t="s">
        <v>22</v>
      </c>
      <c r="F67">
        <v>2012</v>
      </c>
      <c r="G67" t="s">
        <v>301</v>
      </c>
      <c r="J67" t="s">
        <v>24</v>
      </c>
      <c r="K67" t="s">
        <v>25</v>
      </c>
      <c r="L67" t="b">
        <v>1</v>
      </c>
      <c r="M67" t="s">
        <v>302</v>
      </c>
      <c r="P67" t="b">
        <v>0</v>
      </c>
      <c r="R67" t="str">
        <f>"9781868145652"</f>
        <v>9781868145652</v>
      </c>
      <c r="S67" t="str">
        <f>"9781868145775"</f>
        <v>9781868145775</v>
      </c>
    </row>
    <row r="68" spans="1:19" x14ac:dyDescent="0.3">
      <c r="A68">
        <v>1885287</v>
      </c>
      <c r="B68" t="s">
        <v>303</v>
      </c>
      <c r="C68" t="s">
        <v>304</v>
      </c>
      <c r="D68" t="s">
        <v>22</v>
      </c>
      <c r="E68" t="s">
        <v>22</v>
      </c>
      <c r="F68">
        <v>2013</v>
      </c>
      <c r="G68" t="s">
        <v>305</v>
      </c>
      <c r="J68" t="s">
        <v>24</v>
      </c>
      <c r="K68" t="s">
        <v>55</v>
      </c>
      <c r="L68" t="b">
        <v>1</v>
      </c>
      <c r="M68" t="s">
        <v>306</v>
      </c>
      <c r="P68" t="b">
        <v>0</v>
      </c>
      <c r="R68" t="str">
        <f>"9781868145805"</f>
        <v>9781868145805</v>
      </c>
      <c r="S68" t="str">
        <f>"9781776141203"</f>
        <v>9781776141203</v>
      </c>
    </row>
    <row r="69" spans="1:19" x14ac:dyDescent="0.3">
      <c r="A69">
        <v>1883007</v>
      </c>
      <c r="B69" t="s">
        <v>307</v>
      </c>
      <c r="C69" t="s">
        <v>308</v>
      </c>
      <c r="D69" t="s">
        <v>45</v>
      </c>
      <c r="E69" t="s">
        <v>45</v>
      </c>
      <c r="F69">
        <v>2016</v>
      </c>
      <c r="G69" t="s">
        <v>309</v>
      </c>
      <c r="J69" t="s">
        <v>24</v>
      </c>
      <c r="K69" t="s">
        <v>25</v>
      </c>
      <c r="L69" t="b">
        <v>1</v>
      </c>
      <c r="M69" t="s">
        <v>310</v>
      </c>
      <c r="O69" t="s">
        <v>311</v>
      </c>
      <c r="P69" t="b">
        <v>0</v>
      </c>
      <c r="R69" t="str">
        <f>"9783110113662"</f>
        <v>9783110113662</v>
      </c>
      <c r="S69" t="str">
        <f>"9783110848397"</f>
        <v>9783110848397</v>
      </c>
    </row>
    <row r="70" spans="1:19" x14ac:dyDescent="0.3">
      <c r="A70">
        <v>1883006</v>
      </c>
      <c r="B70" t="s">
        <v>312</v>
      </c>
      <c r="D70" t="s">
        <v>45</v>
      </c>
      <c r="E70" t="s">
        <v>313</v>
      </c>
      <c r="F70">
        <v>2016</v>
      </c>
      <c r="G70" t="s">
        <v>314</v>
      </c>
      <c r="J70" t="s">
        <v>24</v>
      </c>
      <c r="K70" t="s">
        <v>25</v>
      </c>
      <c r="L70" t="b">
        <v>1</v>
      </c>
      <c r="M70" t="s">
        <v>315</v>
      </c>
      <c r="P70" t="b">
        <v>0</v>
      </c>
      <c r="R70" t="str">
        <f>"9789027904355"</f>
        <v>9789027904355</v>
      </c>
      <c r="S70" t="str">
        <f>"9783110819502"</f>
        <v>9783110819502</v>
      </c>
    </row>
    <row r="71" spans="1:19" x14ac:dyDescent="0.3">
      <c r="A71">
        <v>1883003</v>
      </c>
      <c r="B71" t="s">
        <v>316</v>
      </c>
      <c r="C71" t="s">
        <v>317</v>
      </c>
      <c r="D71" t="s">
        <v>45</v>
      </c>
      <c r="E71" t="s">
        <v>318</v>
      </c>
      <c r="F71">
        <v>2016</v>
      </c>
      <c r="G71" t="s">
        <v>319</v>
      </c>
      <c r="J71" t="s">
        <v>24</v>
      </c>
      <c r="K71" t="s">
        <v>25</v>
      </c>
      <c r="L71" t="b">
        <v>1</v>
      </c>
      <c r="M71" t="s">
        <v>320</v>
      </c>
      <c r="P71" t="b">
        <v>0</v>
      </c>
      <c r="R71" t="str">
        <f>"9783828206120"</f>
        <v>9783828206120</v>
      </c>
      <c r="S71" t="str">
        <f>"9783110511161"</f>
        <v>9783110511161</v>
      </c>
    </row>
    <row r="72" spans="1:19" x14ac:dyDescent="0.3">
      <c r="A72">
        <v>1882987</v>
      </c>
      <c r="B72" t="s">
        <v>321</v>
      </c>
      <c r="D72" t="s">
        <v>45</v>
      </c>
      <c r="E72" t="s">
        <v>313</v>
      </c>
      <c r="F72">
        <v>2016</v>
      </c>
      <c r="G72" t="s">
        <v>314</v>
      </c>
      <c r="J72" t="s">
        <v>24</v>
      </c>
      <c r="K72" t="s">
        <v>25</v>
      </c>
      <c r="L72" t="b">
        <v>1</v>
      </c>
      <c r="O72" t="s">
        <v>322</v>
      </c>
      <c r="P72" t="b">
        <v>0</v>
      </c>
      <c r="R72" t="str">
        <f>"9789027906786"</f>
        <v>9789027906786</v>
      </c>
      <c r="S72" t="str">
        <f>"9783110805390"</f>
        <v>9783110805390</v>
      </c>
    </row>
    <row r="73" spans="1:19" x14ac:dyDescent="0.3">
      <c r="A73">
        <v>1882981</v>
      </c>
      <c r="B73" t="s">
        <v>323</v>
      </c>
      <c r="D73" t="s">
        <v>45</v>
      </c>
      <c r="E73" t="s">
        <v>45</v>
      </c>
      <c r="F73">
        <v>2016</v>
      </c>
      <c r="G73" t="s">
        <v>324</v>
      </c>
      <c r="J73" t="s">
        <v>325</v>
      </c>
      <c r="K73" t="s">
        <v>25</v>
      </c>
      <c r="L73" t="b">
        <v>1</v>
      </c>
      <c r="M73" t="s">
        <v>326</v>
      </c>
      <c r="O73" t="s">
        <v>327</v>
      </c>
      <c r="P73" t="b">
        <v>0</v>
      </c>
      <c r="R73" t="str">
        <f>"9783110297485"</f>
        <v>9783110297485</v>
      </c>
      <c r="S73" t="str">
        <f>"9783110299373"</f>
        <v>9783110299373</v>
      </c>
    </row>
    <row r="74" spans="1:19" x14ac:dyDescent="0.3">
      <c r="A74">
        <v>1882698</v>
      </c>
      <c r="B74" t="s">
        <v>328</v>
      </c>
      <c r="C74" t="s">
        <v>329</v>
      </c>
      <c r="D74" t="s">
        <v>45</v>
      </c>
      <c r="E74" t="s">
        <v>330</v>
      </c>
      <c r="F74">
        <v>2016</v>
      </c>
      <c r="G74" t="s">
        <v>249</v>
      </c>
      <c r="J74" t="s">
        <v>24</v>
      </c>
      <c r="K74" t="s">
        <v>25</v>
      </c>
      <c r="L74" t="b">
        <v>1</v>
      </c>
      <c r="M74" t="s">
        <v>331</v>
      </c>
      <c r="P74" t="b">
        <v>0</v>
      </c>
      <c r="R74" t="str">
        <f>"9783598103599"</f>
        <v>9783598103599</v>
      </c>
      <c r="S74" t="str">
        <f>"9783111660219"</f>
        <v>9783111660219</v>
      </c>
    </row>
    <row r="75" spans="1:19" x14ac:dyDescent="0.3">
      <c r="A75">
        <v>1882693</v>
      </c>
      <c r="B75" t="s">
        <v>332</v>
      </c>
      <c r="C75" t="s">
        <v>333</v>
      </c>
      <c r="D75" t="s">
        <v>45</v>
      </c>
      <c r="E75" t="s">
        <v>45</v>
      </c>
      <c r="F75">
        <v>2016</v>
      </c>
      <c r="G75" t="s">
        <v>309</v>
      </c>
      <c r="J75" t="s">
        <v>24</v>
      </c>
      <c r="K75" t="s">
        <v>25</v>
      </c>
      <c r="L75" t="b">
        <v>1</v>
      </c>
      <c r="M75" t="s">
        <v>334</v>
      </c>
      <c r="O75" t="s">
        <v>311</v>
      </c>
      <c r="P75" t="b">
        <v>0</v>
      </c>
      <c r="R75" t="str">
        <f>"9783110117233"</f>
        <v>9783110117233</v>
      </c>
      <c r="S75" t="str">
        <f>"9783110848632"</f>
        <v>9783110848632</v>
      </c>
    </row>
    <row r="76" spans="1:19" x14ac:dyDescent="0.3">
      <c r="A76">
        <v>1882689</v>
      </c>
      <c r="B76" t="s">
        <v>335</v>
      </c>
      <c r="C76" t="s">
        <v>336</v>
      </c>
      <c r="D76" t="s">
        <v>45</v>
      </c>
      <c r="E76" t="s">
        <v>45</v>
      </c>
      <c r="F76">
        <v>2016</v>
      </c>
      <c r="G76" t="s">
        <v>309</v>
      </c>
      <c r="J76" t="s">
        <v>24</v>
      </c>
      <c r="K76" t="s">
        <v>25</v>
      </c>
      <c r="L76" t="b">
        <v>1</v>
      </c>
      <c r="M76" t="s">
        <v>337</v>
      </c>
      <c r="O76" t="s">
        <v>311</v>
      </c>
      <c r="P76" t="b">
        <v>0</v>
      </c>
      <c r="R76" t="str">
        <f>"9783110162042"</f>
        <v>9783110162042</v>
      </c>
      <c r="S76" t="str">
        <f>"9783110806090"</f>
        <v>9783110806090</v>
      </c>
    </row>
    <row r="77" spans="1:19" x14ac:dyDescent="0.3">
      <c r="A77">
        <v>1882673</v>
      </c>
      <c r="B77" t="s">
        <v>338</v>
      </c>
      <c r="C77" t="s">
        <v>339</v>
      </c>
      <c r="D77" t="s">
        <v>45</v>
      </c>
      <c r="E77" t="s">
        <v>318</v>
      </c>
      <c r="F77">
        <v>2016</v>
      </c>
      <c r="G77" t="s">
        <v>340</v>
      </c>
      <c r="J77" t="s">
        <v>24</v>
      </c>
      <c r="K77" t="s">
        <v>25</v>
      </c>
      <c r="L77" t="b">
        <v>1</v>
      </c>
      <c r="M77" t="s">
        <v>341</v>
      </c>
      <c r="P77" t="b">
        <v>0</v>
      </c>
      <c r="R77" t="str">
        <f>"9783828203013"</f>
        <v>9783828203013</v>
      </c>
      <c r="S77" t="str">
        <f>"9783110508666"</f>
        <v>9783110508666</v>
      </c>
    </row>
    <row r="78" spans="1:19" x14ac:dyDescent="0.3">
      <c r="A78">
        <v>1882670</v>
      </c>
      <c r="B78" t="s">
        <v>342</v>
      </c>
      <c r="C78" t="s">
        <v>343</v>
      </c>
      <c r="D78" t="s">
        <v>45</v>
      </c>
      <c r="E78" t="s">
        <v>318</v>
      </c>
      <c r="F78">
        <v>2016</v>
      </c>
      <c r="G78" t="s">
        <v>97</v>
      </c>
      <c r="J78" t="s">
        <v>24</v>
      </c>
      <c r="K78" t="s">
        <v>25</v>
      </c>
      <c r="L78" t="b">
        <v>1</v>
      </c>
      <c r="M78" t="s">
        <v>344</v>
      </c>
      <c r="P78" t="b">
        <v>0</v>
      </c>
      <c r="R78" t="str">
        <f>"9783828202528"</f>
        <v>9783828202528</v>
      </c>
      <c r="S78" t="str">
        <f>"9783110501995"</f>
        <v>9783110501995</v>
      </c>
    </row>
    <row r="79" spans="1:19" x14ac:dyDescent="0.3">
      <c r="A79">
        <v>1882657</v>
      </c>
      <c r="B79" t="s">
        <v>345</v>
      </c>
      <c r="D79" t="s">
        <v>45</v>
      </c>
      <c r="E79" t="s">
        <v>45</v>
      </c>
      <c r="F79">
        <v>2016</v>
      </c>
      <c r="G79" t="s">
        <v>346</v>
      </c>
      <c r="J79" t="s">
        <v>24</v>
      </c>
      <c r="K79" t="s">
        <v>25</v>
      </c>
      <c r="L79" t="b">
        <v>1</v>
      </c>
      <c r="M79" t="s">
        <v>347</v>
      </c>
      <c r="O79" t="s">
        <v>348</v>
      </c>
      <c r="P79" t="b">
        <v>0</v>
      </c>
      <c r="R79" t="str">
        <f>"9783110114300"</f>
        <v>9783110114300</v>
      </c>
      <c r="S79" t="str">
        <f>"9783110876437"</f>
        <v>9783110876437</v>
      </c>
    </row>
    <row r="80" spans="1:19" x14ac:dyDescent="0.3">
      <c r="A80">
        <v>1882651</v>
      </c>
      <c r="B80" t="s">
        <v>349</v>
      </c>
      <c r="C80" t="s">
        <v>350</v>
      </c>
      <c r="D80" t="s">
        <v>45</v>
      </c>
      <c r="E80" t="s">
        <v>45</v>
      </c>
      <c r="F80">
        <v>2016</v>
      </c>
      <c r="G80" t="s">
        <v>314</v>
      </c>
      <c r="J80" t="s">
        <v>24</v>
      </c>
      <c r="K80" t="s">
        <v>25</v>
      </c>
      <c r="L80" t="b">
        <v>1</v>
      </c>
      <c r="M80" t="s">
        <v>351</v>
      </c>
      <c r="O80" t="s">
        <v>352</v>
      </c>
      <c r="P80" t="b">
        <v>0</v>
      </c>
      <c r="R80" t="str">
        <f>"9783484391123"</f>
        <v>9783484391123</v>
      </c>
      <c r="S80" t="str">
        <f>"9783110960938"</f>
        <v>9783110960938</v>
      </c>
    </row>
    <row r="81" spans="1:20" x14ac:dyDescent="0.3">
      <c r="A81">
        <v>1882649</v>
      </c>
      <c r="B81" t="s">
        <v>353</v>
      </c>
      <c r="C81" t="s">
        <v>354</v>
      </c>
      <c r="D81" t="s">
        <v>45</v>
      </c>
      <c r="E81" t="s">
        <v>45</v>
      </c>
      <c r="F81">
        <v>2016</v>
      </c>
      <c r="G81" t="s">
        <v>355</v>
      </c>
      <c r="J81" t="s">
        <v>24</v>
      </c>
      <c r="K81" t="s">
        <v>25</v>
      </c>
      <c r="L81" t="b">
        <v>1</v>
      </c>
      <c r="M81" t="s">
        <v>356</v>
      </c>
      <c r="P81" t="b">
        <v>0</v>
      </c>
      <c r="R81" t="str">
        <f>"9783110084856"</f>
        <v>9783110084856</v>
      </c>
      <c r="S81" t="str">
        <f>"9783110837841"</f>
        <v>9783110837841</v>
      </c>
    </row>
    <row r="82" spans="1:20" x14ac:dyDescent="0.3">
      <c r="A82">
        <v>1882646</v>
      </c>
      <c r="B82" t="s">
        <v>357</v>
      </c>
      <c r="C82" t="s">
        <v>358</v>
      </c>
      <c r="D82" t="s">
        <v>45</v>
      </c>
      <c r="E82" t="s">
        <v>313</v>
      </c>
      <c r="F82">
        <v>2016</v>
      </c>
      <c r="G82" t="s">
        <v>314</v>
      </c>
      <c r="J82" t="s">
        <v>24</v>
      </c>
      <c r="K82" t="s">
        <v>25</v>
      </c>
      <c r="L82" t="b">
        <v>1</v>
      </c>
      <c r="M82" t="s">
        <v>359</v>
      </c>
      <c r="O82" t="s">
        <v>360</v>
      </c>
      <c r="P82" t="b">
        <v>0</v>
      </c>
      <c r="R82" t="str">
        <f>"9789027975775"</f>
        <v>9789027975775</v>
      </c>
      <c r="S82" t="str">
        <f>"9783110806694"</f>
        <v>9783110806694</v>
      </c>
    </row>
    <row r="83" spans="1:20" x14ac:dyDescent="0.3">
      <c r="A83">
        <v>1882645</v>
      </c>
      <c r="B83" t="s">
        <v>361</v>
      </c>
      <c r="C83" t="s">
        <v>362</v>
      </c>
      <c r="D83" t="s">
        <v>45</v>
      </c>
      <c r="E83" t="s">
        <v>313</v>
      </c>
      <c r="F83">
        <v>2016</v>
      </c>
      <c r="G83" t="s">
        <v>314</v>
      </c>
      <c r="J83" t="s">
        <v>24</v>
      </c>
      <c r="K83" t="s">
        <v>25</v>
      </c>
      <c r="L83" t="b">
        <v>1</v>
      </c>
      <c r="M83" t="s">
        <v>363</v>
      </c>
      <c r="O83" t="s">
        <v>364</v>
      </c>
      <c r="P83" t="b">
        <v>0</v>
      </c>
      <c r="R83" t="str">
        <f>"9789027933348"</f>
        <v>9789027933348</v>
      </c>
      <c r="S83" t="str">
        <f>"9783110813814"</f>
        <v>9783110813814</v>
      </c>
    </row>
    <row r="84" spans="1:20" x14ac:dyDescent="0.3">
      <c r="A84">
        <v>1882634</v>
      </c>
      <c r="B84" t="s">
        <v>365</v>
      </c>
      <c r="C84" t="s">
        <v>366</v>
      </c>
      <c r="D84" t="s">
        <v>45</v>
      </c>
      <c r="E84" t="s">
        <v>313</v>
      </c>
      <c r="F84">
        <v>2016</v>
      </c>
      <c r="G84" t="s">
        <v>314</v>
      </c>
      <c r="J84" t="s">
        <v>24</v>
      </c>
      <c r="K84" t="s">
        <v>25</v>
      </c>
      <c r="L84" t="b">
        <v>1</v>
      </c>
      <c r="M84" t="s">
        <v>367</v>
      </c>
      <c r="O84" t="s">
        <v>368</v>
      </c>
      <c r="P84" t="b">
        <v>0</v>
      </c>
      <c r="R84" t="str">
        <f>"9783110131093"</f>
        <v>9783110131093</v>
      </c>
      <c r="S84" t="str">
        <f>"9783110866292"</f>
        <v>9783110866292</v>
      </c>
    </row>
    <row r="85" spans="1:20" x14ac:dyDescent="0.3">
      <c r="A85">
        <v>1882629</v>
      </c>
      <c r="B85" t="s">
        <v>369</v>
      </c>
      <c r="D85" t="s">
        <v>45</v>
      </c>
      <c r="E85" t="s">
        <v>313</v>
      </c>
      <c r="F85">
        <v>2016</v>
      </c>
      <c r="G85" t="s">
        <v>370</v>
      </c>
      <c r="J85" t="s">
        <v>24</v>
      </c>
      <c r="K85" t="s">
        <v>25</v>
      </c>
      <c r="L85" t="b">
        <v>1</v>
      </c>
      <c r="M85" t="s">
        <v>371</v>
      </c>
      <c r="O85" t="s">
        <v>372</v>
      </c>
      <c r="P85" t="b">
        <v>0</v>
      </c>
      <c r="R85" t="str">
        <f>"9789027905284"</f>
        <v>9789027905284</v>
      </c>
      <c r="S85" t="str">
        <f>"9783110816327"</f>
        <v>9783110816327</v>
      </c>
    </row>
    <row r="86" spans="1:20" x14ac:dyDescent="0.3">
      <c r="A86">
        <v>1882568</v>
      </c>
      <c r="B86" t="s">
        <v>373</v>
      </c>
      <c r="D86" t="s">
        <v>45</v>
      </c>
      <c r="E86" t="s">
        <v>318</v>
      </c>
      <c r="F86">
        <v>2016</v>
      </c>
      <c r="G86" t="s">
        <v>319</v>
      </c>
      <c r="J86" t="s">
        <v>24</v>
      </c>
      <c r="K86" t="s">
        <v>25</v>
      </c>
      <c r="L86" t="b">
        <v>1</v>
      </c>
      <c r="M86" t="s">
        <v>374</v>
      </c>
      <c r="O86" t="s">
        <v>375</v>
      </c>
      <c r="P86" t="b">
        <v>0</v>
      </c>
      <c r="R86" t="str">
        <f>"9783828203082"</f>
        <v>9783828203082</v>
      </c>
      <c r="S86" t="str">
        <f>"9783110503463"</f>
        <v>9783110503463</v>
      </c>
    </row>
    <row r="87" spans="1:20" x14ac:dyDescent="0.3">
      <c r="A87">
        <v>1882551</v>
      </c>
      <c r="B87" t="s">
        <v>376</v>
      </c>
      <c r="C87" t="s">
        <v>377</v>
      </c>
      <c r="D87" t="s">
        <v>45</v>
      </c>
      <c r="E87" t="s">
        <v>318</v>
      </c>
      <c r="F87">
        <v>2016</v>
      </c>
      <c r="G87" t="s">
        <v>378</v>
      </c>
      <c r="J87" t="s">
        <v>24</v>
      </c>
      <c r="K87" t="s">
        <v>25</v>
      </c>
      <c r="L87" t="b">
        <v>1</v>
      </c>
      <c r="M87" t="s">
        <v>379</v>
      </c>
      <c r="P87" t="b">
        <v>0</v>
      </c>
      <c r="R87" t="str">
        <f>"9783828200753"</f>
        <v>9783828200753</v>
      </c>
      <c r="S87" t="str">
        <f>"9783110504286"</f>
        <v>9783110504286</v>
      </c>
    </row>
    <row r="88" spans="1:20" x14ac:dyDescent="0.3">
      <c r="A88">
        <v>1882527</v>
      </c>
      <c r="B88" t="s">
        <v>380</v>
      </c>
      <c r="D88" t="s">
        <v>45</v>
      </c>
      <c r="E88" t="s">
        <v>45</v>
      </c>
      <c r="F88">
        <v>2016</v>
      </c>
      <c r="G88" t="s">
        <v>381</v>
      </c>
      <c r="J88" t="s">
        <v>24</v>
      </c>
      <c r="K88" t="s">
        <v>25</v>
      </c>
      <c r="L88" t="b">
        <v>1</v>
      </c>
      <c r="M88" t="s">
        <v>382</v>
      </c>
      <c r="P88" t="b">
        <v>0</v>
      </c>
      <c r="R88" t="str">
        <f>"9783110039825"</f>
        <v>9783110039825</v>
      </c>
      <c r="S88" t="str">
        <f>"9783110840872"</f>
        <v>9783110840872</v>
      </c>
    </row>
    <row r="89" spans="1:20" x14ac:dyDescent="0.3">
      <c r="A89">
        <v>1882518</v>
      </c>
      <c r="B89" t="s">
        <v>383</v>
      </c>
      <c r="D89" t="s">
        <v>45</v>
      </c>
      <c r="E89" t="s">
        <v>45</v>
      </c>
      <c r="F89">
        <v>2016</v>
      </c>
      <c r="G89" t="s">
        <v>324</v>
      </c>
      <c r="J89" t="s">
        <v>325</v>
      </c>
      <c r="K89" t="s">
        <v>25</v>
      </c>
      <c r="L89" t="b">
        <v>1</v>
      </c>
      <c r="M89" t="s">
        <v>384</v>
      </c>
      <c r="O89" t="s">
        <v>327</v>
      </c>
      <c r="P89" t="b">
        <v>0</v>
      </c>
      <c r="R89" t="str">
        <f>"9783110297461"</f>
        <v>9783110297461</v>
      </c>
      <c r="S89" t="str">
        <f>"9783110299090"</f>
        <v>9783110299090</v>
      </c>
    </row>
    <row r="90" spans="1:20" x14ac:dyDescent="0.3">
      <c r="A90">
        <v>1882513</v>
      </c>
      <c r="B90" t="s">
        <v>385</v>
      </c>
      <c r="D90" t="s">
        <v>45</v>
      </c>
      <c r="E90" t="s">
        <v>45</v>
      </c>
      <c r="F90">
        <v>2016</v>
      </c>
      <c r="G90" t="s">
        <v>60</v>
      </c>
      <c r="J90" t="s">
        <v>24</v>
      </c>
      <c r="K90" t="s">
        <v>25</v>
      </c>
      <c r="L90" t="b">
        <v>1</v>
      </c>
      <c r="P90" t="b">
        <v>0</v>
      </c>
      <c r="R90" t="str">
        <f>"9783110112764"</f>
        <v>9783110112764</v>
      </c>
      <c r="S90" t="str">
        <f>"9783110809381"</f>
        <v>9783110809381</v>
      </c>
    </row>
    <row r="91" spans="1:20" x14ac:dyDescent="0.3">
      <c r="A91">
        <v>1882492</v>
      </c>
      <c r="B91" t="s">
        <v>386</v>
      </c>
      <c r="D91" t="s">
        <v>45</v>
      </c>
      <c r="E91" t="s">
        <v>313</v>
      </c>
      <c r="F91">
        <v>2016</v>
      </c>
      <c r="G91" t="s">
        <v>314</v>
      </c>
      <c r="J91" t="s">
        <v>24</v>
      </c>
      <c r="K91" t="s">
        <v>25</v>
      </c>
      <c r="L91" t="b">
        <v>1</v>
      </c>
      <c r="M91" t="s">
        <v>387</v>
      </c>
      <c r="O91" t="s">
        <v>388</v>
      </c>
      <c r="P91" t="b">
        <v>0</v>
      </c>
      <c r="R91" t="str">
        <f>"9783110130287"</f>
        <v>9783110130287</v>
      </c>
      <c r="S91" t="str">
        <f>"9783110869187"</f>
        <v>9783110869187</v>
      </c>
    </row>
    <row r="92" spans="1:20" x14ac:dyDescent="0.3">
      <c r="A92">
        <v>1882446</v>
      </c>
      <c r="B92" t="s">
        <v>389</v>
      </c>
      <c r="D92" t="s">
        <v>45</v>
      </c>
      <c r="E92" t="s">
        <v>45</v>
      </c>
      <c r="F92">
        <v>2016</v>
      </c>
      <c r="G92" t="s">
        <v>390</v>
      </c>
      <c r="J92" t="s">
        <v>24</v>
      </c>
      <c r="K92" t="s">
        <v>25</v>
      </c>
      <c r="L92" t="b">
        <v>1</v>
      </c>
      <c r="M92" t="s">
        <v>391</v>
      </c>
      <c r="O92" t="s">
        <v>392</v>
      </c>
      <c r="P92" t="b">
        <v>0</v>
      </c>
      <c r="R92" t="str">
        <f>"9783110128215"</f>
        <v>9783110128215</v>
      </c>
      <c r="S92" t="str">
        <f>"9783110886214"</f>
        <v>9783110886214</v>
      </c>
    </row>
    <row r="93" spans="1:20" x14ac:dyDescent="0.3">
      <c r="A93">
        <v>1880285</v>
      </c>
      <c r="B93" t="s">
        <v>393</v>
      </c>
      <c r="D93" t="s">
        <v>394</v>
      </c>
      <c r="E93" t="s">
        <v>394</v>
      </c>
      <c r="F93">
        <v>2016</v>
      </c>
      <c r="J93" t="s">
        <v>24</v>
      </c>
      <c r="K93" t="s">
        <v>25</v>
      </c>
      <c r="L93" t="b">
        <v>1</v>
      </c>
      <c r="M93" t="s">
        <v>395</v>
      </c>
      <c r="P93" t="b">
        <v>0</v>
      </c>
      <c r="Q93" t="b">
        <v>0</v>
      </c>
      <c r="R93" t="str">
        <f>"9789463007092"</f>
        <v>9789463007092</v>
      </c>
      <c r="S93" t="str">
        <f>"9789463007115"</f>
        <v>9789463007115</v>
      </c>
    </row>
    <row r="94" spans="1:20" x14ac:dyDescent="0.3">
      <c r="A94">
        <v>1879692</v>
      </c>
      <c r="B94" t="s">
        <v>396</v>
      </c>
      <c r="D94" t="s">
        <v>397</v>
      </c>
      <c r="E94" t="s">
        <v>397</v>
      </c>
      <c r="F94">
        <v>1984</v>
      </c>
      <c r="G94" t="s">
        <v>60</v>
      </c>
      <c r="H94" t="s">
        <v>398</v>
      </c>
      <c r="I94" t="s">
        <v>399</v>
      </c>
      <c r="J94" t="s">
        <v>24</v>
      </c>
      <c r="K94" t="s">
        <v>55</v>
      </c>
      <c r="L94" t="b">
        <v>1</v>
      </c>
      <c r="M94" t="s">
        <v>400</v>
      </c>
      <c r="N94" t="str">
        <f>"978.7/19"</f>
        <v>978.7/19</v>
      </c>
      <c r="P94" t="b">
        <v>0</v>
      </c>
      <c r="R94" t="str">
        <f>"9780803223318"</f>
        <v>9780803223318</v>
      </c>
      <c r="S94" t="str">
        <f>"9781496205247"</f>
        <v>9781496205247</v>
      </c>
      <c r="T94">
        <v>756453442</v>
      </c>
    </row>
    <row r="95" spans="1:20" x14ac:dyDescent="0.3">
      <c r="A95">
        <v>1879473</v>
      </c>
      <c r="B95" t="s">
        <v>401</v>
      </c>
      <c r="C95" t="s">
        <v>402</v>
      </c>
      <c r="D95" t="s">
        <v>403</v>
      </c>
      <c r="E95" t="s">
        <v>403</v>
      </c>
      <c r="F95">
        <v>2016</v>
      </c>
      <c r="G95" t="s">
        <v>60</v>
      </c>
      <c r="H95" t="s">
        <v>404</v>
      </c>
      <c r="J95" t="s">
        <v>24</v>
      </c>
      <c r="K95" t="s">
        <v>25</v>
      </c>
      <c r="L95" t="b">
        <v>1</v>
      </c>
      <c r="M95" t="s">
        <v>405</v>
      </c>
      <c r="N95" t="str">
        <f>"947.7084"</f>
        <v>947.7084</v>
      </c>
      <c r="P95" t="b">
        <v>0</v>
      </c>
      <c r="R95" t="str">
        <f>"9789089648341"</f>
        <v>9789089648341</v>
      </c>
      <c r="S95" t="str">
        <f>"9789048526826"</f>
        <v>9789048526826</v>
      </c>
    </row>
    <row r="96" spans="1:20" x14ac:dyDescent="0.3">
      <c r="A96">
        <v>1878787</v>
      </c>
      <c r="B96" t="s">
        <v>406</v>
      </c>
      <c r="D96" t="s">
        <v>407</v>
      </c>
      <c r="E96" t="s">
        <v>407</v>
      </c>
      <c r="F96">
        <v>2009</v>
      </c>
      <c r="J96" t="s">
        <v>24</v>
      </c>
      <c r="K96" t="s">
        <v>25</v>
      </c>
      <c r="L96" t="b">
        <v>1</v>
      </c>
      <c r="M96" t="s">
        <v>408</v>
      </c>
      <c r="P96" t="b">
        <v>0</v>
      </c>
      <c r="R96" t="str">
        <f>"9789654062237"</f>
        <v>9789654062237</v>
      </c>
      <c r="S96" t="str">
        <f>"9789654065771"</f>
        <v>9789654065771</v>
      </c>
    </row>
    <row r="97" spans="1:20" x14ac:dyDescent="0.3">
      <c r="A97">
        <v>1878786</v>
      </c>
      <c r="B97" t="s">
        <v>409</v>
      </c>
      <c r="D97" t="s">
        <v>407</v>
      </c>
      <c r="E97" t="s">
        <v>407</v>
      </c>
      <c r="F97">
        <v>2008</v>
      </c>
      <c r="J97" t="s">
        <v>24</v>
      </c>
      <c r="K97" t="s">
        <v>25</v>
      </c>
      <c r="L97" t="b">
        <v>1</v>
      </c>
      <c r="M97" t="s">
        <v>410</v>
      </c>
      <c r="P97" t="b">
        <v>0</v>
      </c>
      <c r="R97" t="str">
        <f>"9789654062220"</f>
        <v>9789654062220</v>
      </c>
      <c r="S97" t="str">
        <f>"9789654065764"</f>
        <v>9789654065764</v>
      </c>
    </row>
    <row r="98" spans="1:20" x14ac:dyDescent="0.3">
      <c r="A98">
        <v>1878785</v>
      </c>
      <c r="B98" t="s">
        <v>411</v>
      </c>
      <c r="D98" t="s">
        <v>407</v>
      </c>
      <c r="E98" t="s">
        <v>407</v>
      </c>
      <c r="F98">
        <v>2008</v>
      </c>
      <c r="J98" t="s">
        <v>24</v>
      </c>
      <c r="K98" t="s">
        <v>25</v>
      </c>
      <c r="L98" t="b">
        <v>1</v>
      </c>
      <c r="M98" t="s">
        <v>410</v>
      </c>
      <c r="P98" t="b">
        <v>0</v>
      </c>
      <c r="R98" t="str">
        <f>"9789654062152"</f>
        <v>9789654062152</v>
      </c>
      <c r="S98" t="str">
        <f>"9789654065757"</f>
        <v>9789654065757</v>
      </c>
    </row>
    <row r="99" spans="1:20" x14ac:dyDescent="0.3">
      <c r="A99">
        <v>1878706</v>
      </c>
      <c r="B99" t="s">
        <v>412</v>
      </c>
      <c r="D99" t="s">
        <v>45</v>
      </c>
      <c r="E99" t="s">
        <v>45</v>
      </c>
      <c r="F99">
        <v>2016</v>
      </c>
      <c r="G99" t="s">
        <v>309</v>
      </c>
      <c r="J99" t="s">
        <v>24</v>
      </c>
      <c r="K99" t="s">
        <v>25</v>
      </c>
      <c r="L99" t="b">
        <v>1</v>
      </c>
      <c r="M99" t="s">
        <v>413</v>
      </c>
      <c r="P99" t="b">
        <v>0</v>
      </c>
      <c r="R99" t="str">
        <f>"9783110460568"</f>
        <v>9783110460568</v>
      </c>
      <c r="S99" t="str">
        <f>"9783110926026"</f>
        <v>9783110926026</v>
      </c>
    </row>
    <row r="100" spans="1:20" x14ac:dyDescent="0.3">
      <c r="A100">
        <v>1878476</v>
      </c>
      <c r="B100" t="s">
        <v>414</v>
      </c>
      <c r="C100" t="s">
        <v>415</v>
      </c>
      <c r="D100" t="s">
        <v>416</v>
      </c>
      <c r="E100" t="s">
        <v>417</v>
      </c>
      <c r="F100">
        <v>2001</v>
      </c>
      <c r="G100" t="s">
        <v>418</v>
      </c>
      <c r="H100" t="s">
        <v>419</v>
      </c>
      <c r="J100" t="s">
        <v>24</v>
      </c>
      <c r="K100" t="s">
        <v>25</v>
      </c>
      <c r="L100" t="b">
        <v>1</v>
      </c>
      <c r="M100" t="s">
        <v>420</v>
      </c>
      <c r="N100" t="str">
        <f>"227/.077"</f>
        <v>227/.077</v>
      </c>
      <c r="O100" t="s">
        <v>421</v>
      </c>
      <c r="P100" t="b">
        <v>0</v>
      </c>
      <c r="Q100" t="b">
        <v>0</v>
      </c>
      <c r="R100" t="str">
        <f>"9781573123235"</f>
        <v>9781573123235</v>
      </c>
      <c r="S100" t="str">
        <f>"9781573129671"</f>
        <v>9781573129671</v>
      </c>
      <c r="T100">
        <v>1049975057</v>
      </c>
    </row>
    <row r="101" spans="1:20" x14ac:dyDescent="0.3">
      <c r="A101">
        <v>1878255</v>
      </c>
      <c r="B101" t="s">
        <v>422</v>
      </c>
      <c r="D101" t="s">
        <v>423</v>
      </c>
      <c r="E101" t="s">
        <v>424</v>
      </c>
      <c r="F101">
        <v>2015</v>
      </c>
      <c r="G101" t="s">
        <v>425</v>
      </c>
      <c r="H101" t="s">
        <v>426</v>
      </c>
      <c r="I101" t="s">
        <v>427</v>
      </c>
      <c r="J101" t="s">
        <v>24</v>
      </c>
      <c r="K101" t="s">
        <v>55</v>
      </c>
      <c r="L101" t="b">
        <v>1</v>
      </c>
      <c r="M101" t="s">
        <v>428</v>
      </c>
      <c r="N101" t="str">
        <f>"821.92"</f>
        <v>821.92</v>
      </c>
      <c r="P101" t="b">
        <v>0</v>
      </c>
      <c r="R101" t="str">
        <f>"9781910139301"</f>
        <v>9781910139301</v>
      </c>
      <c r="S101" t="str">
        <f>"9781910139325"</f>
        <v>9781910139325</v>
      </c>
      <c r="T101">
        <v>1049975009</v>
      </c>
    </row>
    <row r="102" spans="1:20" x14ac:dyDescent="0.3">
      <c r="A102">
        <v>1878254</v>
      </c>
      <c r="B102" t="s">
        <v>429</v>
      </c>
      <c r="D102" t="s">
        <v>423</v>
      </c>
      <c r="E102" t="s">
        <v>424</v>
      </c>
      <c r="F102">
        <v>2015</v>
      </c>
      <c r="G102" t="s">
        <v>430</v>
      </c>
      <c r="H102" t="s">
        <v>431</v>
      </c>
      <c r="I102" t="s">
        <v>432</v>
      </c>
      <c r="J102" t="s">
        <v>24</v>
      </c>
      <c r="K102" t="s">
        <v>55</v>
      </c>
      <c r="L102" t="b">
        <v>1</v>
      </c>
      <c r="M102" t="s">
        <v>433</v>
      </c>
      <c r="N102" t="str">
        <f>"821.914"</f>
        <v>821.914</v>
      </c>
      <c r="P102" t="b">
        <v>0</v>
      </c>
      <c r="R102" t="str">
        <f>"9781910139288"</f>
        <v>9781910139288</v>
      </c>
      <c r="S102" t="str">
        <f>"9781910139295"</f>
        <v>9781910139295</v>
      </c>
      <c r="T102">
        <v>1049974641</v>
      </c>
    </row>
    <row r="103" spans="1:20" x14ac:dyDescent="0.3">
      <c r="A103">
        <v>1878248</v>
      </c>
      <c r="B103" t="s">
        <v>434</v>
      </c>
      <c r="C103" t="s">
        <v>435</v>
      </c>
      <c r="D103" t="s">
        <v>423</v>
      </c>
      <c r="E103" t="s">
        <v>424</v>
      </c>
      <c r="F103">
        <v>2015</v>
      </c>
      <c r="G103" t="s">
        <v>430</v>
      </c>
      <c r="H103" t="s">
        <v>436</v>
      </c>
      <c r="I103" t="s">
        <v>437</v>
      </c>
      <c r="J103" t="s">
        <v>24</v>
      </c>
      <c r="K103" t="s">
        <v>55</v>
      </c>
      <c r="L103" t="b">
        <v>1</v>
      </c>
      <c r="M103" t="s">
        <v>438</v>
      </c>
      <c r="N103" t="str">
        <f>"821.008035"</f>
        <v>821.008035</v>
      </c>
      <c r="P103" t="b">
        <v>0</v>
      </c>
      <c r="R103" t="str">
        <f>"9781910139158"</f>
        <v>9781910139158</v>
      </c>
      <c r="S103" t="str">
        <f>"9781910139202"</f>
        <v>9781910139202</v>
      </c>
      <c r="T103">
        <v>1049975133</v>
      </c>
    </row>
    <row r="104" spans="1:20" x14ac:dyDescent="0.3">
      <c r="A104">
        <v>1878063</v>
      </c>
      <c r="B104" t="s">
        <v>439</v>
      </c>
      <c r="D104" t="s">
        <v>440</v>
      </c>
      <c r="E104" t="s">
        <v>441</v>
      </c>
      <c r="F104">
        <v>2015</v>
      </c>
      <c r="J104" t="s">
        <v>442</v>
      </c>
      <c r="K104" t="s">
        <v>25</v>
      </c>
      <c r="L104" t="b">
        <v>1</v>
      </c>
      <c r="M104" t="s">
        <v>443</v>
      </c>
      <c r="P104" t="b">
        <v>0</v>
      </c>
      <c r="R104" t="str">
        <f>"9781842659243"</f>
        <v>9781842659243</v>
      </c>
      <c r="S104" t="str">
        <f>"9781783321940"</f>
        <v>9781783321940</v>
      </c>
    </row>
    <row r="105" spans="1:20" x14ac:dyDescent="0.3">
      <c r="A105">
        <v>1878062</v>
      </c>
      <c r="B105" t="s">
        <v>444</v>
      </c>
      <c r="D105" t="s">
        <v>440</v>
      </c>
      <c r="E105" t="s">
        <v>441</v>
      </c>
      <c r="F105">
        <v>2014</v>
      </c>
      <c r="J105" t="s">
        <v>442</v>
      </c>
      <c r="K105" t="s">
        <v>25</v>
      </c>
      <c r="L105" t="b">
        <v>1</v>
      </c>
      <c r="M105" t="s">
        <v>445</v>
      </c>
      <c r="P105" t="b">
        <v>0</v>
      </c>
      <c r="R105" t="str">
        <f>"9781842658826"</f>
        <v>9781842658826</v>
      </c>
      <c r="S105" t="str">
        <f>"9781783320684"</f>
        <v>9781783320684</v>
      </c>
    </row>
    <row r="106" spans="1:20" x14ac:dyDescent="0.3">
      <c r="A106">
        <v>1878061</v>
      </c>
      <c r="B106" t="s">
        <v>446</v>
      </c>
      <c r="D106" t="s">
        <v>440</v>
      </c>
      <c r="E106" t="s">
        <v>441</v>
      </c>
      <c r="F106">
        <v>2013</v>
      </c>
      <c r="J106" t="s">
        <v>442</v>
      </c>
      <c r="K106" t="s">
        <v>25</v>
      </c>
      <c r="L106" t="b">
        <v>1</v>
      </c>
      <c r="M106" t="s">
        <v>447</v>
      </c>
      <c r="P106" t="b">
        <v>0</v>
      </c>
      <c r="R106" t="str">
        <f>"9781842657850"</f>
        <v>9781842657850</v>
      </c>
      <c r="S106" t="str">
        <f>"9781783320134"</f>
        <v>9781783320134</v>
      </c>
    </row>
    <row r="107" spans="1:20" x14ac:dyDescent="0.3">
      <c r="A107">
        <v>1878060</v>
      </c>
      <c r="B107" t="s">
        <v>448</v>
      </c>
      <c r="D107" t="s">
        <v>440</v>
      </c>
      <c r="E107" t="s">
        <v>441</v>
      </c>
      <c r="F107">
        <v>2014</v>
      </c>
      <c r="J107" t="s">
        <v>442</v>
      </c>
      <c r="K107" t="s">
        <v>25</v>
      </c>
      <c r="L107" t="b">
        <v>1</v>
      </c>
      <c r="M107" t="s">
        <v>449</v>
      </c>
      <c r="P107" t="b">
        <v>0</v>
      </c>
      <c r="R107" t="str">
        <f>"9781842659151"</f>
        <v>9781842659151</v>
      </c>
      <c r="S107" t="str">
        <f>"9781783320677"</f>
        <v>9781783320677</v>
      </c>
    </row>
    <row r="108" spans="1:20" x14ac:dyDescent="0.3">
      <c r="A108">
        <v>1878059</v>
      </c>
      <c r="B108" t="s">
        <v>450</v>
      </c>
      <c r="D108" t="s">
        <v>440</v>
      </c>
      <c r="E108" t="s">
        <v>441</v>
      </c>
      <c r="F108">
        <v>2016</v>
      </c>
      <c r="J108" t="s">
        <v>442</v>
      </c>
      <c r="K108" t="s">
        <v>25</v>
      </c>
      <c r="L108" t="b">
        <v>1</v>
      </c>
      <c r="M108" t="s">
        <v>451</v>
      </c>
      <c r="P108" t="b">
        <v>0</v>
      </c>
      <c r="R108" t="str">
        <f>"9781783322749"</f>
        <v>9781783322749</v>
      </c>
      <c r="S108" t="str">
        <f>"9781783323302"</f>
        <v>9781783323302</v>
      </c>
    </row>
    <row r="109" spans="1:20" x14ac:dyDescent="0.3">
      <c r="A109">
        <v>1878058</v>
      </c>
      <c r="B109" t="s">
        <v>452</v>
      </c>
      <c r="D109" t="s">
        <v>440</v>
      </c>
      <c r="E109" t="s">
        <v>441</v>
      </c>
      <c r="F109">
        <v>2014</v>
      </c>
      <c r="J109" t="s">
        <v>442</v>
      </c>
      <c r="K109" t="s">
        <v>25</v>
      </c>
      <c r="L109" t="b">
        <v>1</v>
      </c>
      <c r="M109" t="s">
        <v>449</v>
      </c>
      <c r="P109" t="b">
        <v>0</v>
      </c>
      <c r="R109" t="str">
        <f>"9781842659250"</f>
        <v>9781842659250</v>
      </c>
      <c r="S109" t="str">
        <f>"9781783320653"</f>
        <v>9781783320653</v>
      </c>
    </row>
    <row r="110" spans="1:20" x14ac:dyDescent="0.3">
      <c r="A110">
        <v>1878057</v>
      </c>
      <c r="B110" t="s">
        <v>453</v>
      </c>
      <c r="D110" t="s">
        <v>440</v>
      </c>
      <c r="E110" t="s">
        <v>441</v>
      </c>
      <c r="F110">
        <v>2011</v>
      </c>
      <c r="J110" t="s">
        <v>442</v>
      </c>
      <c r="K110" t="s">
        <v>25</v>
      </c>
      <c r="L110" t="b">
        <v>1</v>
      </c>
      <c r="M110" t="s">
        <v>454</v>
      </c>
      <c r="P110" t="b">
        <v>0</v>
      </c>
      <c r="R110" t="str">
        <f>"9781842656297"</f>
        <v>9781842656297</v>
      </c>
      <c r="S110" t="str">
        <f>"9781783322350"</f>
        <v>9781783322350</v>
      </c>
    </row>
    <row r="111" spans="1:20" x14ac:dyDescent="0.3">
      <c r="A111">
        <v>1878056</v>
      </c>
      <c r="B111" t="s">
        <v>455</v>
      </c>
      <c r="D111" t="s">
        <v>440</v>
      </c>
      <c r="E111" t="s">
        <v>441</v>
      </c>
      <c r="F111">
        <v>2016</v>
      </c>
      <c r="G111" t="s">
        <v>456</v>
      </c>
      <c r="H111" t="s">
        <v>457</v>
      </c>
      <c r="I111" t="s">
        <v>458</v>
      </c>
      <c r="J111" t="s">
        <v>24</v>
      </c>
      <c r="K111" t="s">
        <v>25</v>
      </c>
      <c r="L111" t="b">
        <v>1</v>
      </c>
      <c r="M111" t="s">
        <v>459</v>
      </c>
      <c r="N111" t="str">
        <f>"621.3822"</f>
        <v>621.3822</v>
      </c>
      <c r="P111" t="b">
        <v>0</v>
      </c>
      <c r="R111" t="str">
        <f>"9781783322626"</f>
        <v>9781783322626</v>
      </c>
      <c r="S111" t="str">
        <f>"9781783323296"</f>
        <v>9781783323296</v>
      </c>
      <c r="T111">
        <v>1041906557</v>
      </c>
    </row>
    <row r="112" spans="1:20" x14ac:dyDescent="0.3">
      <c r="A112">
        <v>1876835</v>
      </c>
      <c r="B112" t="s">
        <v>460</v>
      </c>
      <c r="C112" t="s">
        <v>415</v>
      </c>
      <c r="D112" t="s">
        <v>416</v>
      </c>
      <c r="E112" t="s">
        <v>417</v>
      </c>
      <c r="F112">
        <v>2002</v>
      </c>
      <c r="G112" t="s">
        <v>461</v>
      </c>
      <c r="H112" t="s">
        <v>462</v>
      </c>
      <c r="J112" t="s">
        <v>24</v>
      </c>
      <c r="K112" t="s">
        <v>25</v>
      </c>
      <c r="L112" t="b">
        <v>1</v>
      </c>
      <c r="M112" t="s">
        <v>463</v>
      </c>
      <c r="N112" t="str">
        <f>"227/.8707"</f>
        <v>227/.8707</v>
      </c>
      <c r="O112" t="s">
        <v>464</v>
      </c>
      <c r="P112" t="b">
        <v>0</v>
      </c>
      <c r="Q112" t="b">
        <v>0</v>
      </c>
      <c r="R112" t="str">
        <f>"9781573123181"</f>
        <v>9781573123181</v>
      </c>
      <c r="S112" t="str">
        <f>"9781573128742"</f>
        <v>9781573128742</v>
      </c>
      <c r="T112">
        <v>1049974991</v>
      </c>
    </row>
    <row r="113" spans="1:20" x14ac:dyDescent="0.3">
      <c r="A113">
        <v>1876834</v>
      </c>
      <c r="B113" t="s">
        <v>465</v>
      </c>
      <c r="C113" t="s">
        <v>466</v>
      </c>
      <c r="D113" t="s">
        <v>416</v>
      </c>
      <c r="E113" t="s">
        <v>417</v>
      </c>
      <c r="F113">
        <v>2000</v>
      </c>
      <c r="G113" t="s">
        <v>418</v>
      </c>
      <c r="H113" t="s">
        <v>467</v>
      </c>
      <c r="J113" t="s">
        <v>24</v>
      </c>
      <c r="K113" t="s">
        <v>25</v>
      </c>
      <c r="L113" t="b">
        <v>1</v>
      </c>
      <c r="M113" t="s">
        <v>468</v>
      </c>
      <c r="N113" t="str">
        <f>"226.3/07"</f>
        <v>226.3/07</v>
      </c>
      <c r="O113" t="s">
        <v>464</v>
      </c>
      <c r="P113" t="b">
        <v>0</v>
      </c>
      <c r="Q113" t="b">
        <v>0</v>
      </c>
      <c r="R113" t="str">
        <f>"9781573122887"</f>
        <v>9781573122887</v>
      </c>
      <c r="S113" t="str">
        <f>"9781573128674"</f>
        <v>9781573128674</v>
      </c>
      <c r="T113">
        <v>1049974856</v>
      </c>
    </row>
    <row r="114" spans="1:20" x14ac:dyDescent="0.3">
      <c r="A114">
        <v>1876833</v>
      </c>
      <c r="B114" t="s">
        <v>469</v>
      </c>
      <c r="C114" t="s">
        <v>415</v>
      </c>
      <c r="D114" t="s">
        <v>416</v>
      </c>
      <c r="E114" t="s">
        <v>417</v>
      </c>
      <c r="F114">
        <v>2002</v>
      </c>
      <c r="G114" t="s">
        <v>470</v>
      </c>
      <c r="H114" t="s">
        <v>471</v>
      </c>
      <c r="J114" t="s">
        <v>24</v>
      </c>
      <c r="K114" t="s">
        <v>25</v>
      </c>
      <c r="L114" t="b">
        <v>1</v>
      </c>
      <c r="M114" t="s">
        <v>472</v>
      </c>
      <c r="N114" t="str">
        <f>"226.4/07"</f>
        <v>226.4/07</v>
      </c>
      <c r="O114" t="s">
        <v>421</v>
      </c>
      <c r="P114" t="b">
        <v>0</v>
      </c>
      <c r="Q114" t="b">
        <v>0</v>
      </c>
      <c r="R114" t="str">
        <f>"9781573123938"</f>
        <v>9781573123938</v>
      </c>
      <c r="S114" t="str">
        <f>"9781573126274"</f>
        <v>9781573126274</v>
      </c>
      <c r="T114">
        <v>999342974</v>
      </c>
    </row>
    <row r="115" spans="1:20" x14ac:dyDescent="0.3">
      <c r="A115">
        <v>1876832</v>
      </c>
      <c r="B115" t="s">
        <v>473</v>
      </c>
      <c r="D115" t="s">
        <v>416</v>
      </c>
      <c r="E115" t="s">
        <v>417</v>
      </c>
      <c r="F115">
        <v>2007</v>
      </c>
      <c r="G115" t="s">
        <v>461</v>
      </c>
      <c r="H115" t="s">
        <v>474</v>
      </c>
      <c r="J115" t="s">
        <v>24</v>
      </c>
      <c r="K115" t="s">
        <v>25</v>
      </c>
      <c r="L115" t="b">
        <v>1</v>
      </c>
      <c r="M115" t="s">
        <v>475</v>
      </c>
      <c r="N115" t="str">
        <f>"227/.07"</f>
        <v>227/.07</v>
      </c>
      <c r="O115" t="s">
        <v>421</v>
      </c>
      <c r="P115" t="b">
        <v>0</v>
      </c>
      <c r="Q115" t="b">
        <v>0</v>
      </c>
      <c r="R115" t="str">
        <f>"9781573125000"</f>
        <v>9781573125000</v>
      </c>
      <c r="S115" t="str">
        <f>"9781573129664"</f>
        <v>9781573129664</v>
      </c>
      <c r="T115">
        <v>1049975101</v>
      </c>
    </row>
    <row r="116" spans="1:20" x14ac:dyDescent="0.3">
      <c r="A116">
        <v>1876830</v>
      </c>
      <c r="B116" t="s">
        <v>476</v>
      </c>
      <c r="C116" t="s">
        <v>415</v>
      </c>
      <c r="D116" t="s">
        <v>416</v>
      </c>
      <c r="E116" t="s">
        <v>417</v>
      </c>
      <c r="F116">
        <v>2000</v>
      </c>
      <c r="G116" t="s">
        <v>461</v>
      </c>
      <c r="H116" t="s">
        <v>477</v>
      </c>
      <c r="J116" t="s">
        <v>24</v>
      </c>
      <c r="K116" t="s">
        <v>25</v>
      </c>
      <c r="L116" t="b">
        <v>1</v>
      </c>
      <c r="M116" t="s">
        <v>478</v>
      </c>
      <c r="N116" t="str">
        <f>"227/.92077"</f>
        <v>227/.92077</v>
      </c>
      <c r="O116" t="s">
        <v>464</v>
      </c>
      <c r="P116" t="b">
        <v>0</v>
      </c>
      <c r="Q116" t="b">
        <v>0</v>
      </c>
      <c r="R116" t="str">
        <f>"9781573123143"</f>
        <v>9781573123143</v>
      </c>
      <c r="S116" t="str">
        <f>"9781573129657"</f>
        <v>9781573129657</v>
      </c>
      <c r="T116">
        <v>1049975102</v>
      </c>
    </row>
    <row r="117" spans="1:20" x14ac:dyDescent="0.3">
      <c r="A117">
        <v>1876829</v>
      </c>
      <c r="B117" t="s">
        <v>479</v>
      </c>
      <c r="C117" t="s">
        <v>415</v>
      </c>
      <c r="D117" t="s">
        <v>416</v>
      </c>
      <c r="E117" t="s">
        <v>417</v>
      </c>
      <c r="F117">
        <v>2011</v>
      </c>
      <c r="G117" t="s">
        <v>480</v>
      </c>
      <c r="H117" t="s">
        <v>481</v>
      </c>
      <c r="J117" t="s">
        <v>24</v>
      </c>
      <c r="K117" t="s">
        <v>25</v>
      </c>
      <c r="L117" t="b">
        <v>1</v>
      </c>
      <c r="M117" t="s">
        <v>482</v>
      </c>
      <c r="N117" t="str">
        <f>"222/.407"</f>
        <v>222/.407</v>
      </c>
      <c r="O117" t="s">
        <v>483</v>
      </c>
      <c r="P117" t="b">
        <v>0</v>
      </c>
      <c r="Q117" t="b">
        <v>0</v>
      </c>
      <c r="R117" t="str">
        <f>"9781573126076"</f>
        <v>9781573126076</v>
      </c>
      <c r="S117" t="str">
        <f>"9781573129640"</f>
        <v>9781573129640</v>
      </c>
      <c r="T117">
        <v>1049975092</v>
      </c>
    </row>
    <row r="118" spans="1:20" x14ac:dyDescent="0.3">
      <c r="A118">
        <v>1876828</v>
      </c>
      <c r="B118" t="s">
        <v>484</v>
      </c>
      <c r="C118" t="s">
        <v>415</v>
      </c>
      <c r="D118" t="s">
        <v>416</v>
      </c>
      <c r="E118" t="s">
        <v>417</v>
      </c>
      <c r="F118">
        <v>2016</v>
      </c>
      <c r="G118" t="s">
        <v>485</v>
      </c>
      <c r="H118" t="s">
        <v>486</v>
      </c>
      <c r="J118" t="s">
        <v>24</v>
      </c>
      <c r="K118" t="s">
        <v>25</v>
      </c>
      <c r="L118" t="b">
        <v>1</v>
      </c>
      <c r="M118" t="s">
        <v>487</v>
      </c>
      <c r="N118" t="str">
        <f>"224/.907"</f>
        <v>224/.907</v>
      </c>
      <c r="P118" t="b">
        <v>0</v>
      </c>
      <c r="Q118" t="b">
        <v>0</v>
      </c>
      <c r="R118" t="str">
        <f>"9781573128483"</f>
        <v>9781573128483</v>
      </c>
      <c r="S118" t="str">
        <f>"9781573128902"</f>
        <v>9781573128902</v>
      </c>
      <c r="T118">
        <v>1049975139</v>
      </c>
    </row>
    <row r="119" spans="1:20" x14ac:dyDescent="0.3">
      <c r="A119">
        <v>1876827</v>
      </c>
      <c r="B119" t="s">
        <v>488</v>
      </c>
      <c r="C119" t="s">
        <v>415</v>
      </c>
      <c r="D119" t="s">
        <v>416</v>
      </c>
      <c r="E119" t="s">
        <v>417</v>
      </c>
      <c r="F119">
        <v>2012</v>
      </c>
      <c r="G119" t="s">
        <v>480</v>
      </c>
      <c r="H119" t="s">
        <v>489</v>
      </c>
      <c r="J119" t="s">
        <v>24</v>
      </c>
      <c r="K119" t="s">
        <v>25</v>
      </c>
      <c r="L119" t="b">
        <v>1</v>
      </c>
      <c r="M119" t="s">
        <v>490</v>
      </c>
      <c r="N119" t="str">
        <f>"222/.3207"</f>
        <v>222/.3207</v>
      </c>
      <c r="O119" t="s">
        <v>491</v>
      </c>
      <c r="P119" t="b">
        <v>0</v>
      </c>
      <c r="Q119" t="b">
        <v>0</v>
      </c>
      <c r="R119" t="str">
        <f>"9781573126311"</f>
        <v>9781573126311</v>
      </c>
      <c r="S119" t="str">
        <f>"9781573129633"</f>
        <v>9781573129633</v>
      </c>
      <c r="T119">
        <v>1049975140</v>
      </c>
    </row>
    <row r="120" spans="1:20" x14ac:dyDescent="0.3">
      <c r="A120">
        <v>1876826</v>
      </c>
      <c r="B120" t="s">
        <v>492</v>
      </c>
      <c r="C120" t="s">
        <v>415</v>
      </c>
      <c r="D120" t="s">
        <v>416</v>
      </c>
      <c r="E120" t="s">
        <v>417</v>
      </c>
      <c r="F120">
        <v>2011</v>
      </c>
      <c r="G120" t="s">
        <v>493</v>
      </c>
      <c r="H120" t="s">
        <v>494</v>
      </c>
      <c r="J120" t="s">
        <v>24</v>
      </c>
      <c r="K120" t="s">
        <v>25</v>
      </c>
      <c r="L120" t="b">
        <v>1</v>
      </c>
      <c r="M120" t="s">
        <v>495</v>
      </c>
      <c r="N120" t="str">
        <f>"223/.107"</f>
        <v>223/.107</v>
      </c>
      <c r="O120" t="s">
        <v>483</v>
      </c>
      <c r="P120" t="b">
        <v>0</v>
      </c>
      <c r="Q120" t="b">
        <v>0</v>
      </c>
      <c r="R120" t="str">
        <f>"9781573125741"</f>
        <v>9781573125741</v>
      </c>
      <c r="S120" t="str">
        <f>"9781573129626"</f>
        <v>9781573129626</v>
      </c>
      <c r="T120">
        <v>1049975105</v>
      </c>
    </row>
    <row r="121" spans="1:20" x14ac:dyDescent="0.3">
      <c r="A121">
        <v>1876825</v>
      </c>
      <c r="B121" t="s">
        <v>496</v>
      </c>
      <c r="C121" t="s">
        <v>415</v>
      </c>
      <c r="D121" t="s">
        <v>416</v>
      </c>
      <c r="E121" t="s">
        <v>417</v>
      </c>
      <c r="F121">
        <v>2016</v>
      </c>
      <c r="G121" t="s">
        <v>485</v>
      </c>
      <c r="H121" t="s">
        <v>497</v>
      </c>
      <c r="J121" t="s">
        <v>24</v>
      </c>
      <c r="K121" t="s">
        <v>25</v>
      </c>
      <c r="L121" t="b">
        <v>1</v>
      </c>
      <c r="M121" t="s">
        <v>498</v>
      </c>
      <c r="N121" t="str">
        <f>"224/.207"</f>
        <v>224/.207</v>
      </c>
      <c r="O121" t="s">
        <v>483</v>
      </c>
      <c r="P121" t="b">
        <v>0</v>
      </c>
      <c r="Q121" t="b">
        <v>0</v>
      </c>
      <c r="R121" t="str">
        <f>"9781573129244"</f>
        <v>9781573129244</v>
      </c>
      <c r="S121" t="str">
        <f>"9781573129602"</f>
        <v>9781573129602</v>
      </c>
      <c r="T121">
        <v>995175416</v>
      </c>
    </row>
    <row r="122" spans="1:20" x14ac:dyDescent="0.3">
      <c r="A122">
        <v>1876824</v>
      </c>
      <c r="B122" t="s">
        <v>499</v>
      </c>
      <c r="C122" t="s">
        <v>415</v>
      </c>
      <c r="D122" t="s">
        <v>416</v>
      </c>
      <c r="E122" t="s">
        <v>417</v>
      </c>
      <c r="F122">
        <v>2016</v>
      </c>
      <c r="G122" t="s">
        <v>485</v>
      </c>
      <c r="H122" t="s">
        <v>500</v>
      </c>
      <c r="J122" t="s">
        <v>24</v>
      </c>
      <c r="K122" t="s">
        <v>25</v>
      </c>
      <c r="L122" t="b">
        <v>1</v>
      </c>
      <c r="M122" t="s">
        <v>501</v>
      </c>
      <c r="N122" t="str">
        <f>"224/.107"</f>
        <v>224/.107</v>
      </c>
      <c r="O122" t="s">
        <v>483</v>
      </c>
      <c r="P122" t="b">
        <v>0</v>
      </c>
      <c r="Q122" t="b">
        <v>0</v>
      </c>
      <c r="R122" t="str">
        <f>"9781573129251"</f>
        <v>9781573129251</v>
      </c>
      <c r="S122" t="str">
        <f>"9781573129596"</f>
        <v>9781573129596</v>
      </c>
      <c r="T122">
        <v>995175225</v>
      </c>
    </row>
    <row r="123" spans="1:20" x14ac:dyDescent="0.3">
      <c r="A123">
        <v>1876823</v>
      </c>
      <c r="B123" t="s">
        <v>502</v>
      </c>
      <c r="C123" t="s">
        <v>415</v>
      </c>
      <c r="D123" t="s">
        <v>416</v>
      </c>
      <c r="E123" t="s">
        <v>417</v>
      </c>
      <c r="F123">
        <v>2013</v>
      </c>
      <c r="G123" t="s">
        <v>485</v>
      </c>
      <c r="H123" t="s">
        <v>503</v>
      </c>
      <c r="J123" t="s">
        <v>24</v>
      </c>
      <c r="K123" t="s">
        <v>25</v>
      </c>
      <c r="L123" t="b">
        <v>1</v>
      </c>
      <c r="M123" t="s">
        <v>504</v>
      </c>
      <c r="N123" t="str">
        <f>"224/.407"</f>
        <v>224/.407</v>
      </c>
      <c r="O123" t="s">
        <v>491</v>
      </c>
      <c r="P123" t="b">
        <v>0</v>
      </c>
      <c r="Q123" t="b">
        <v>0</v>
      </c>
      <c r="R123" t="str">
        <f>"9781573126588"</f>
        <v>9781573126588</v>
      </c>
      <c r="S123" t="str">
        <f>"9781573126977"</f>
        <v>9781573126977</v>
      </c>
      <c r="T123">
        <v>1049802911</v>
      </c>
    </row>
    <row r="124" spans="1:20" x14ac:dyDescent="0.3">
      <c r="A124">
        <v>1876822</v>
      </c>
      <c r="B124" t="s">
        <v>505</v>
      </c>
      <c r="C124" t="s">
        <v>415</v>
      </c>
      <c r="D124" t="s">
        <v>416</v>
      </c>
      <c r="E124" t="s">
        <v>417</v>
      </c>
      <c r="F124">
        <v>2013</v>
      </c>
      <c r="G124" t="s">
        <v>485</v>
      </c>
      <c r="H124" t="s">
        <v>506</v>
      </c>
      <c r="J124" t="s">
        <v>24</v>
      </c>
      <c r="K124" t="s">
        <v>25</v>
      </c>
      <c r="L124" t="b">
        <v>1</v>
      </c>
      <c r="M124" t="s">
        <v>507</v>
      </c>
      <c r="N124" t="str">
        <f>"224/.907"</f>
        <v>224/.907</v>
      </c>
      <c r="O124" t="s">
        <v>483</v>
      </c>
      <c r="P124" t="b">
        <v>0</v>
      </c>
      <c r="Q124" t="b">
        <v>0</v>
      </c>
      <c r="R124" t="str">
        <f>"9781573126878"</f>
        <v>9781573126878</v>
      </c>
      <c r="S124" t="str">
        <f>"9781573129619"</f>
        <v>9781573129619</v>
      </c>
      <c r="T124">
        <v>1049975106</v>
      </c>
    </row>
    <row r="125" spans="1:20" x14ac:dyDescent="0.3">
      <c r="A125">
        <v>1876067</v>
      </c>
      <c r="B125" t="s">
        <v>508</v>
      </c>
      <c r="C125" t="s">
        <v>509</v>
      </c>
      <c r="D125" t="s">
        <v>397</v>
      </c>
      <c r="E125" t="s">
        <v>510</v>
      </c>
      <c r="F125">
        <v>1998</v>
      </c>
      <c r="G125" t="s">
        <v>511</v>
      </c>
      <c r="H125" t="s">
        <v>512</v>
      </c>
      <c r="I125" t="s">
        <v>513</v>
      </c>
      <c r="J125" t="s">
        <v>24</v>
      </c>
      <c r="K125" t="s">
        <v>55</v>
      </c>
      <c r="L125" t="b">
        <v>1</v>
      </c>
      <c r="M125" t="s">
        <v>514</v>
      </c>
      <c r="N125" t="str">
        <f>"355.02"</f>
        <v>355.02</v>
      </c>
      <c r="P125" t="b">
        <v>0</v>
      </c>
      <c r="R125" t="str">
        <f>"9780803270763"</f>
        <v>9780803270763</v>
      </c>
      <c r="S125" t="str">
        <f>"9780803280953"</f>
        <v>9780803280953</v>
      </c>
      <c r="T125">
        <v>908253957</v>
      </c>
    </row>
    <row r="126" spans="1:20" x14ac:dyDescent="0.3">
      <c r="A126">
        <v>1876065</v>
      </c>
      <c r="B126" t="s">
        <v>515</v>
      </c>
      <c r="C126" t="s">
        <v>516</v>
      </c>
      <c r="D126" t="s">
        <v>397</v>
      </c>
      <c r="E126" t="s">
        <v>510</v>
      </c>
      <c r="F126">
        <v>2011</v>
      </c>
      <c r="G126" t="s">
        <v>517</v>
      </c>
      <c r="H126" t="s">
        <v>518</v>
      </c>
      <c r="I126" t="s">
        <v>519</v>
      </c>
      <c r="J126" t="s">
        <v>24</v>
      </c>
      <c r="K126" t="s">
        <v>55</v>
      </c>
      <c r="L126" t="b">
        <v>1</v>
      </c>
      <c r="M126" t="s">
        <v>520</v>
      </c>
      <c r="N126" t="str">
        <f>"975.004/9755"</f>
        <v>975.004/9755</v>
      </c>
      <c r="P126" t="b">
        <v>0</v>
      </c>
      <c r="R126" t="str">
        <f>"9780803237940"</f>
        <v>9780803237940</v>
      </c>
      <c r="S126" t="str">
        <f>"9780803274570"</f>
        <v>9780803274570</v>
      </c>
      <c r="T126">
        <v>906811658</v>
      </c>
    </row>
    <row r="127" spans="1:20" x14ac:dyDescent="0.3">
      <c r="A127">
        <v>1876064</v>
      </c>
      <c r="B127" t="s">
        <v>521</v>
      </c>
      <c r="C127" t="s">
        <v>522</v>
      </c>
      <c r="D127" t="s">
        <v>397</v>
      </c>
      <c r="E127" t="s">
        <v>510</v>
      </c>
      <c r="F127">
        <v>2015</v>
      </c>
      <c r="G127" t="s">
        <v>523</v>
      </c>
      <c r="H127" t="s">
        <v>524</v>
      </c>
      <c r="I127" t="s">
        <v>525</v>
      </c>
      <c r="J127" t="s">
        <v>24</v>
      </c>
      <c r="K127" t="s">
        <v>55</v>
      </c>
      <c r="L127" t="b">
        <v>1</v>
      </c>
      <c r="M127" t="s">
        <v>520</v>
      </c>
      <c r="N127" t="str">
        <f>"355.0092B"</f>
        <v>355.0092B</v>
      </c>
      <c r="P127" t="b">
        <v>0</v>
      </c>
      <c r="R127" t="str">
        <f>"9780803230088"</f>
        <v>9780803230088</v>
      </c>
      <c r="S127" t="str">
        <f>"9780803274556"</f>
        <v>9780803274556</v>
      </c>
      <c r="T127">
        <v>905660964</v>
      </c>
    </row>
    <row r="128" spans="1:20" x14ac:dyDescent="0.3">
      <c r="A128">
        <v>1876063</v>
      </c>
      <c r="B128" t="s">
        <v>526</v>
      </c>
      <c r="C128" t="s">
        <v>527</v>
      </c>
      <c r="D128" t="s">
        <v>397</v>
      </c>
      <c r="E128" t="s">
        <v>510</v>
      </c>
      <c r="F128">
        <v>2009</v>
      </c>
      <c r="G128" t="s">
        <v>528</v>
      </c>
      <c r="H128" t="s">
        <v>529</v>
      </c>
      <c r="I128" t="s">
        <v>530</v>
      </c>
      <c r="J128" t="s">
        <v>24</v>
      </c>
      <c r="K128" t="s">
        <v>55</v>
      </c>
      <c r="L128" t="b">
        <v>1</v>
      </c>
      <c r="M128" t="s">
        <v>520</v>
      </c>
      <c r="N128" t="str">
        <f>"973.7/82092"</f>
        <v>973.7/82092</v>
      </c>
      <c r="P128" t="b">
        <v>0</v>
      </c>
      <c r="R128" t="str">
        <f>"9780803213548"</f>
        <v>9780803213548</v>
      </c>
      <c r="S128" t="str">
        <f>"9780803274532"</f>
        <v>9780803274532</v>
      </c>
      <c r="T128">
        <v>1049171856</v>
      </c>
    </row>
    <row r="129" spans="1:20" x14ac:dyDescent="0.3">
      <c r="A129">
        <v>1876061</v>
      </c>
      <c r="B129" t="s">
        <v>531</v>
      </c>
      <c r="D129" t="s">
        <v>532</v>
      </c>
      <c r="E129" t="s">
        <v>533</v>
      </c>
      <c r="F129">
        <v>1980</v>
      </c>
      <c r="G129" t="s">
        <v>534</v>
      </c>
      <c r="H129" t="s">
        <v>535</v>
      </c>
      <c r="J129" t="s">
        <v>24</v>
      </c>
      <c r="K129" t="s">
        <v>25</v>
      </c>
      <c r="L129" t="b">
        <v>1</v>
      </c>
      <c r="M129" t="s">
        <v>536</v>
      </c>
      <c r="N129" t="str">
        <f>"851.1"</f>
        <v>851.1</v>
      </c>
      <c r="O129" t="s">
        <v>537</v>
      </c>
      <c r="P129" t="b">
        <v>0</v>
      </c>
      <c r="R129" t="str">
        <f>"9780807890585"</f>
        <v>9780807890585</v>
      </c>
      <c r="S129" t="str">
        <f>"9781469647265"</f>
        <v>9781469647265</v>
      </c>
      <c r="T129">
        <v>1049568398</v>
      </c>
    </row>
    <row r="130" spans="1:20" x14ac:dyDescent="0.3">
      <c r="A130">
        <v>1876060</v>
      </c>
      <c r="B130" t="s">
        <v>538</v>
      </c>
      <c r="C130" t="s">
        <v>539</v>
      </c>
      <c r="D130" t="s">
        <v>532</v>
      </c>
      <c r="E130" t="s">
        <v>533</v>
      </c>
      <c r="F130">
        <v>1964</v>
      </c>
      <c r="G130" t="s">
        <v>540</v>
      </c>
      <c r="H130" t="s">
        <v>541</v>
      </c>
      <c r="I130" t="s">
        <v>542</v>
      </c>
      <c r="J130" t="s">
        <v>543</v>
      </c>
      <c r="K130" t="s">
        <v>25</v>
      </c>
      <c r="L130" t="b">
        <v>1</v>
      </c>
      <c r="M130" t="s">
        <v>544</v>
      </c>
      <c r="N130" t="str">
        <f>"440"</f>
        <v>440</v>
      </c>
      <c r="O130" t="s">
        <v>545</v>
      </c>
      <c r="P130" t="b">
        <v>0</v>
      </c>
      <c r="R130" t="str">
        <f>"9780807890417"</f>
        <v>9780807890417</v>
      </c>
      <c r="S130" t="str">
        <f>"9781469645698"</f>
        <v>9781469645698</v>
      </c>
      <c r="T130">
        <v>1049568202</v>
      </c>
    </row>
    <row r="131" spans="1:20" x14ac:dyDescent="0.3">
      <c r="A131">
        <v>1876059</v>
      </c>
      <c r="B131" t="s">
        <v>546</v>
      </c>
      <c r="D131" t="s">
        <v>532</v>
      </c>
      <c r="E131" t="s">
        <v>533</v>
      </c>
      <c r="F131">
        <v>1964</v>
      </c>
      <c r="G131" t="s">
        <v>540</v>
      </c>
      <c r="H131" t="s">
        <v>547</v>
      </c>
      <c r="I131" t="s">
        <v>548</v>
      </c>
      <c r="J131" t="s">
        <v>24</v>
      </c>
      <c r="K131" t="s">
        <v>25</v>
      </c>
      <c r="L131" t="b">
        <v>1</v>
      </c>
      <c r="M131" t="s">
        <v>549</v>
      </c>
      <c r="N131" t="str">
        <f>"842.09"</f>
        <v>842.09</v>
      </c>
      <c r="O131" t="s">
        <v>550</v>
      </c>
      <c r="P131" t="b">
        <v>0</v>
      </c>
      <c r="R131" t="str">
        <f>"9780807890455"</f>
        <v>9780807890455</v>
      </c>
      <c r="S131" t="str">
        <f>"9781469645889"</f>
        <v>9781469645889</v>
      </c>
      <c r="T131">
        <v>540863123</v>
      </c>
    </row>
    <row r="132" spans="1:20" x14ac:dyDescent="0.3">
      <c r="A132">
        <v>1876058</v>
      </c>
      <c r="B132" t="s">
        <v>551</v>
      </c>
      <c r="C132" t="s">
        <v>552</v>
      </c>
      <c r="D132" t="s">
        <v>532</v>
      </c>
      <c r="E132" t="s">
        <v>533</v>
      </c>
      <c r="F132">
        <v>1971</v>
      </c>
      <c r="G132" t="s">
        <v>534</v>
      </c>
      <c r="H132" t="s">
        <v>553</v>
      </c>
      <c r="I132" t="s">
        <v>554</v>
      </c>
      <c r="J132" t="s">
        <v>24</v>
      </c>
      <c r="K132" t="s">
        <v>25</v>
      </c>
      <c r="L132" t="b">
        <v>1</v>
      </c>
      <c r="M132" t="s">
        <v>555</v>
      </c>
      <c r="N132" t="str">
        <f>"455.6"</f>
        <v>455.6</v>
      </c>
      <c r="O132" t="s">
        <v>550</v>
      </c>
      <c r="P132" t="b">
        <v>0</v>
      </c>
      <c r="R132" t="str">
        <f>"9780807891070"</f>
        <v>9780807891070</v>
      </c>
      <c r="S132" t="str">
        <f>"9781469646138"</f>
        <v>9781469646138</v>
      </c>
      <c r="T132">
        <v>679457428</v>
      </c>
    </row>
    <row r="133" spans="1:20" x14ac:dyDescent="0.3">
      <c r="A133">
        <v>1876057</v>
      </c>
      <c r="B133" t="s">
        <v>556</v>
      </c>
      <c r="C133" t="s">
        <v>557</v>
      </c>
      <c r="D133" t="s">
        <v>532</v>
      </c>
      <c r="E133" t="s">
        <v>533</v>
      </c>
      <c r="F133">
        <v>1976</v>
      </c>
      <c r="G133" t="s">
        <v>540</v>
      </c>
      <c r="H133" t="s">
        <v>558</v>
      </c>
      <c r="I133" t="s">
        <v>559</v>
      </c>
      <c r="J133" t="s">
        <v>24</v>
      </c>
      <c r="K133" t="s">
        <v>25</v>
      </c>
      <c r="L133" t="b">
        <v>1</v>
      </c>
      <c r="M133" t="s">
        <v>560</v>
      </c>
      <c r="N133" t="str">
        <f>"841.1"</f>
        <v>841.1</v>
      </c>
      <c r="O133" t="s">
        <v>561</v>
      </c>
      <c r="P133" t="b">
        <v>0</v>
      </c>
      <c r="R133" t="str">
        <f>"9780807891681"</f>
        <v>9780807891681</v>
      </c>
      <c r="S133" t="str">
        <f>"9781469647401"</f>
        <v>9781469647401</v>
      </c>
      <c r="T133">
        <v>1049568200</v>
      </c>
    </row>
    <row r="134" spans="1:20" x14ac:dyDescent="0.3">
      <c r="A134">
        <v>1876055</v>
      </c>
      <c r="B134" t="s">
        <v>562</v>
      </c>
      <c r="C134" t="s">
        <v>563</v>
      </c>
      <c r="D134" t="s">
        <v>532</v>
      </c>
      <c r="E134" t="s">
        <v>533</v>
      </c>
      <c r="F134">
        <v>1973</v>
      </c>
      <c r="G134" t="s">
        <v>540</v>
      </c>
      <c r="H134" t="s">
        <v>564</v>
      </c>
      <c r="I134" t="s">
        <v>565</v>
      </c>
      <c r="J134" t="s">
        <v>543</v>
      </c>
      <c r="K134" t="s">
        <v>25</v>
      </c>
      <c r="L134" t="b">
        <v>1</v>
      </c>
      <c r="M134" t="s">
        <v>566</v>
      </c>
      <c r="N134" t="str">
        <f>"841.3"</f>
        <v>841.3</v>
      </c>
      <c r="O134" t="s">
        <v>567</v>
      </c>
      <c r="P134" t="b">
        <v>0</v>
      </c>
      <c r="R134" t="str">
        <f>"9780807891353"</f>
        <v>9780807891353</v>
      </c>
      <c r="S134" t="str">
        <f>"9781469645773"</f>
        <v>9781469645773</v>
      </c>
      <c r="T134">
        <v>1049568198</v>
      </c>
    </row>
    <row r="135" spans="1:20" x14ac:dyDescent="0.3">
      <c r="A135">
        <v>1876050</v>
      </c>
      <c r="B135" t="s">
        <v>568</v>
      </c>
      <c r="D135" t="s">
        <v>532</v>
      </c>
      <c r="E135" t="s">
        <v>533</v>
      </c>
      <c r="F135">
        <v>1966</v>
      </c>
      <c r="G135" t="s">
        <v>569</v>
      </c>
      <c r="H135" t="s">
        <v>570</v>
      </c>
      <c r="J135" t="s">
        <v>24</v>
      </c>
      <c r="K135" t="s">
        <v>25</v>
      </c>
      <c r="L135" t="b">
        <v>1</v>
      </c>
      <c r="M135" t="s">
        <v>571</v>
      </c>
      <c r="N135" t="str">
        <f>"861.2"</f>
        <v>861.2</v>
      </c>
      <c r="O135" t="s">
        <v>572</v>
      </c>
      <c r="P135" t="b">
        <v>0</v>
      </c>
      <c r="R135" t="str">
        <f>"9780807890615"</f>
        <v>9780807890615</v>
      </c>
      <c r="S135" t="str">
        <f>"9781469645995"</f>
        <v>9781469645995</v>
      </c>
      <c r="T135">
        <v>988841545</v>
      </c>
    </row>
    <row r="136" spans="1:20" x14ac:dyDescent="0.3">
      <c r="A136">
        <v>1876049</v>
      </c>
      <c r="B136" t="s">
        <v>573</v>
      </c>
      <c r="D136" t="s">
        <v>532</v>
      </c>
      <c r="E136" t="s">
        <v>533</v>
      </c>
      <c r="F136">
        <v>1961</v>
      </c>
      <c r="G136" t="s">
        <v>540</v>
      </c>
      <c r="H136" t="s">
        <v>574</v>
      </c>
      <c r="J136" t="s">
        <v>24</v>
      </c>
      <c r="K136" t="s">
        <v>25</v>
      </c>
      <c r="L136" t="b">
        <v>1</v>
      </c>
      <c r="M136" t="s">
        <v>575</v>
      </c>
      <c r="N136" t="str">
        <f>"841.1"</f>
        <v>841.1</v>
      </c>
      <c r="O136" t="s">
        <v>576</v>
      </c>
      <c r="P136" t="b">
        <v>0</v>
      </c>
      <c r="R136" t="str">
        <f>"9780807890363"</f>
        <v>9780807890363</v>
      </c>
      <c r="S136" t="str">
        <f>"9781469646282"</f>
        <v>9781469646282</v>
      </c>
      <c r="T136">
        <v>603501164</v>
      </c>
    </row>
    <row r="137" spans="1:20" x14ac:dyDescent="0.3">
      <c r="A137">
        <v>1876047</v>
      </c>
      <c r="B137" t="s">
        <v>577</v>
      </c>
      <c r="D137" t="s">
        <v>532</v>
      </c>
      <c r="E137" t="s">
        <v>533</v>
      </c>
      <c r="F137">
        <v>1969</v>
      </c>
      <c r="G137" t="s">
        <v>569</v>
      </c>
      <c r="H137" t="s">
        <v>578</v>
      </c>
      <c r="I137" t="s">
        <v>579</v>
      </c>
      <c r="J137" t="s">
        <v>580</v>
      </c>
      <c r="K137" t="s">
        <v>25</v>
      </c>
      <c r="L137" t="b">
        <v>1</v>
      </c>
      <c r="M137" t="s">
        <v>581</v>
      </c>
      <c r="N137" t="str">
        <f>"973.1"</f>
        <v>973.1</v>
      </c>
      <c r="O137" t="s">
        <v>582</v>
      </c>
      <c r="P137" t="b">
        <v>0</v>
      </c>
      <c r="R137" t="str">
        <f>"9780807890851"</f>
        <v>9780807890851</v>
      </c>
      <c r="S137" t="str">
        <f>"9781469646329"</f>
        <v>9781469646329</v>
      </c>
      <c r="T137">
        <v>948411447</v>
      </c>
    </row>
    <row r="138" spans="1:20" x14ac:dyDescent="0.3">
      <c r="A138">
        <v>1876046</v>
      </c>
      <c r="B138" t="s">
        <v>583</v>
      </c>
      <c r="D138" t="s">
        <v>532</v>
      </c>
      <c r="E138" t="s">
        <v>533</v>
      </c>
      <c r="F138">
        <v>1964</v>
      </c>
      <c r="G138" t="s">
        <v>569</v>
      </c>
      <c r="H138" t="s">
        <v>584</v>
      </c>
      <c r="I138" t="s">
        <v>585</v>
      </c>
      <c r="J138" t="s">
        <v>24</v>
      </c>
      <c r="K138" t="s">
        <v>25</v>
      </c>
      <c r="L138" t="b">
        <v>1</v>
      </c>
      <c r="M138" t="s">
        <v>586</v>
      </c>
      <c r="N138" t="str">
        <f>"862.509"</f>
        <v>862.509</v>
      </c>
      <c r="O138" t="s">
        <v>587</v>
      </c>
      <c r="P138" t="b">
        <v>0</v>
      </c>
      <c r="R138" t="str">
        <f>"9780807890516"</f>
        <v>9780807890516</v>
      </c>
      <c r="S138" t="str">
        <f>"9781469646343"</f>
        <v>9781469646343</v>
      </c>
      <c r="T138">
        <v>540863172</v>
      </c>
    </row>
    <row r="139" spans="1:20" x14ac:dyDescent="0.3">
      <c r="A139">
        <v>1876045</v>
      </c>
      <c r="B139" t="s">
        <v>588</v>
      </c>
      <c r="D139" t="s">
        <v>532</v>
      </c>
      <c r="E139" t="s">
        <v>533</v>
      </c>
      <c r="F139">
        <v>1951</v>
      </c>
      <c r="G139" t="s">
        <v>540</v>
      </c>
      <c r="H139" t="s">
        <v>589</v>
      </c>
      <c r="J139" t="s">
        <v>24</v>
      </c>
      <c r="K139" t="s">
        <v>25</v>
      </c>
      <c r="L139" t="b">
        <v>1</v>
      </c>
      <c r="M139" t="s">
        <v>590</v>
      </c>
      <c r="N139" t="str">
        <f>"841.1"</f>
        <v>841.1</v>
      </c>
      <c r="O139" t="s">
        <v>591</v>
      </c>
      <c r="P139" t="b">
        <v>0</v>
      </c>
      <c r="R139" t="str">
        <f>"9780807890141"</f>
        <v>9780807890141</v>
      </c>
      <c r="S139" t="str">
        <f>"9781469646206"</f>
        <v>9781469646206</v>
      </c>
      <c r="T139">
        <v>655234339</v>
      </c>
    </row>
    <row r="140" spans="1:20" x14ac:dyDescent="0.3">
      <c r="A140">
        <v>1876043</v>
      </c>
      <c r="B140" t="s">
        <v>592</v>
      </c>
      <c r="C140" t="s">
        <v>593</v>
      </c>
      <c r="D140" t="s">
        <v>532</v>
      </c>
      <c r="E140" t="s">
        <v>533</v>
      </c>
      <c r="F140">
        <v>1973</v>
      </c>
      <c r="G140" t="s">
        <v>534</v>
      </c>
      <c r="H140" t="s">
        <v>594</v>
      </c>
      <c r="I140" t="s">
        <v>595</v>
      </c>
      <c r="J140" t="s">
        <v>596</v>
      </c>
      <c r="K140" t="s">
        <v>25</v>
      </c>
      <c r="L140" t="b">
        <v>1</v>
      </c>
      <c r="M140" t="s">
        <v>597</v>
      </c>
      <c r="N140" t="str">
        <f>"851.1"</f>
        <v>851.1</v>
      </c>
      <c r="O140" t="s">
        <v>567</v>
      </c>
      <c r="P140" t="b">
        <v>0</v>
      </c>
      <c r="R140" t="str">
        <f>"9780807891346"</f>
        <v>9780807891346</v>
      </c>
      <c r="S140" t="str">
        <f>"9781469647371"</f>
        <v>9781469647371</v>
      </c>
      <c r="T140">
        <v>643670138</v>
      </c>
    </row>
    <row r="141" spans="1:20" x14ac:dyDescent="0.3">
      <c r="A141">
        <v>1876042</v>
      </c>
      <c r="B141" t="s">
        <v>598</v>
      </c>
      <c r="C141" t="s">
        <v>599</v>
      </c>
      <c r="D141" t="s">
        <v>532</v>
      </c>
      <c r="E141" t="s">
        <v>533</v>
      </c>
      <c r="F141">
        <v>1967</v>
      </c>
      <c r="G141" t="s">
        <v>540</v>
      </c>
      <c r="H141" t="s">
        <v>600</v>
      </c>
      <c r="J141" t="s">
        <v>24</v>
      </c>
      <c r="K141" t="s">
        <v>25</v>
      </c>
      <c r="L141" t="b">
        <v>1</v>
      </c>
      <c r="M141" t="s">
        <v>601</v>
      </c>
      <c r="N141" t="str">
        <f>"016.843/7"</f>
        <v>016.843/7</v>
      </c>
      <c r="O141" t="s">
        <v>602</v>
      </c>
      <c r="P141" t="b">
        <v>0</v>
      </c>
      <c r="R141" t="str">
        <f>"9780807890677"</f>
        <v>9780807890677</v>
      </c>
      <c r="S141" t="str">
        <f>"9781469646039"</f>
        <v>9781469646039</v>
      </c>
      <c r="T141">
        <v>654971759</v>
      </c>
    </row>
    <row r="142" spans="1:20" x14ac:dyDescent="0.3">
      <c r="A142">
        <v>1876041</v>
      </c>
      <c r="B142" t="s">
        <v>603</v>
      </c>
      <c r="D142" t="s">
        <v>532</v>
      </c>
      <c r="E142" t="s">
        <v>533</v>
      </c>
      <c r="F142">
        <v>1970</v>
      </c>
      <c r="G142" t="s">
        <v>569</v>
      </c>
      <c r="H142" t="s">
        <v>604</v>
      </c>
      <c r="J142" t="s">
        <v>24</v>
      </c>
      <c r="K142" t="s">
        <v>25</v>
      </c>
      <c r="L142" t="b">
        <v>1</v>
      </c>
      <c r="M142" t="s">
        <v>605</v>
      </c>
      <c r="N142" t="str">
        <f>"868/.3/09"</f>
        <v>868/.3/09</v>
      </c>
      <c r="O142" t="s">
        <v>602</v>
      </c>
      <c r="P142" t="b">
        <v>0</v>
      </c>
      <c r="R142" t="str">
        <f>"9780807890912"</f>
        <v>9780807890912</v>
      </c>
      <c r="S142" t="str">
        <f>"9781469645735"</f>
        <v>9781469645735</v>
      </c>
      <c r="T142">
        <v>540863416</v>
      </c>
    </row>
    <row r="143" spans="1:20" x14ac:dyDescent="0.3">
      <c r="A143">
        <v>1876040</v>
      </c>
      <c r="B143" t="s">
        <v>606</v>
      </c>
      <c r="D143" t="s">
        <v>532</v>
      </c>
      <c r="E143" t="s">
        <v>533</v>
      </c>
      <c r="F143">
        <v>1976</v>
      </c>
      <c r="G143" t="s">
        <v>569</v>
      </c>
      <c r="H143" t="s">
        <v>584</v>
      </c>
      <c r="I143" t="s">
        <v>607</v>
      </c>
      <c r="J143" t="s">
        <v>24</v>
      </c>
      <c r="K143" t="s">
        <v>25</v>
      </c>
      <c r="L143" t="b">
        <v>1</v>
      </c>
      <c r="M143" t="s">
        <v>608</v>
      </c>
      <c r="N143" t="str">
        <f>"863/.3"</f>
        <v>863/.3</v>
      </c>
      <c r="O143" t="s">
        <v>561</v>
      </c>
      <c r="P143" t="b">
        <v>0</v>
      </c>
      <c r="R143" t="str">
        <f>"9780807891667"</f>
        <v>9780807891667</v>
      </c>
      <c r="S143" t="str">
        <f>"9781469647418"</f>
        <v>9781469647418</v>
      </c>
      <c r="T143">
        <v>643720428</v>
      </c>
    </row>
    <row r="144" spans="1:20" x14ac:dyDescent="0.3">
      <c r="A144">
        <v>1876039</v>
      </c>
      <c r="B144" t="s">
        <v>609</v>
      </c>
      <c r="C144" t="s">
        <v>610</v>
      </c>
      <c r="D144" t="s">
        <v>532</v>
      </c>
      <c r="E144" t="s">
        <v>533</v>
      </c>
      <c r="F144">
        <v>1959</v>
      </c>
      <c r="G144" t="s">
        <v>611</v>
      </c>
      <c r="H144" t="s">
        <v>612</v>
      </c>
      <c r="I144" t="s">
        <v>613</v>
      </c>
      <c r="J144" t="s">
        <v>24</v>
      </c>
      <c r="K144" t="s">
        <v>25</v>
      </c>
      <c r="L144" t="b">
        <v>1</v>
      </c>
      <c r="M144" t="s">
        <v>614</v>
      </c>
      <c r="N144" t="str">
        <f>"809.03"</f>
        <v>809.03</v>
      </c>
      <c r="O144" t="s">
        <v>550</v>
      </c>
      <c r="P144" t="b">
        <v>1</v>
      </c>
      <c r="R144" t="str">
        <f>"9780807890318"</f>
        <v>9780807890318</v>
      </c>
      <c r="S144" t="str">
        <f>"9781469646046"</f>
        <v>9781469646046</v>
      </c>
      <c r="T144">
        <v>603482921</v>
      </c>
    </row>
    <row r="145" spans="1:20" x14ac:dyDescent="0.3">
      <c r="A145">
        <v>1876038</v>
      </c>
      <c r="B145" t="s">
        <v>615</v>
      </c>
      <c r="D145" t="s">
        <v>532</v>
      </c>
      <c r="E145" t="s">
        <v>533</v>
      </c>
      <c r="F145">
        <v>1948</v>
      </c>
      <c r="G145" t="s">
        <v>540</v>
      </c>
      <c r="H145" t="s">
        <v>616</v>
      </c>
      <c r="J145" t="s">
        <v>24</v>
      </c>
      <c r="K145" t="s">
        <v>25</v>
      </c>
      <c r="L145" t="b">
        <v>1</v>
      </c>
      <c r="M145" t="s">
        <v>617</v>
      </c>
      <c r="N145" t="str">
        <f>"841/.1"</f>
        <v>841/.1</v>
      </c>
      <c r="O145" t="s">
        <v>618</v>
      </c>
      <c r="P145" t="b">
        <v>0</v>
      </c>
      <c r="R145" t="str">
        <f>"9780807890080"</f>
        <v>9780807890080</v>
      </c>
      <c r="S145" t="str">
        <f>"9781469646091"</f>
        <v>9781469646091</v>
      </c>
      <c r="T145">
        <v>1049802235</v>
      </c>
    </row>
    <row r="146" spans="1:20" x14ac:dyDescent="0.3">
      <c r="A146">
        <v>1876037</v>
      </c>
      <c r="B146" t="s">
        <v>619</v>
      </c>
      <c r="D146" t="s">
        <v>532</v>
      </c>
      <c r="E146" t="s">
        <v>533</v>
      </c>
      <c r="F146">
        <v>1953</v>
      </c>
      <c r="G146" t="s">
        <v>370</v>
      </c>
      <c r="H146" t="s">
        <v>620</v>
      </c>
      <c r="I146" t="s">
        <v>621</v>
      </c>
      <c r="J146" t="s">
        <v>24</v>
      </c>
      <c r="K146" t="s">
        <v>25</v>
      </c>
      <c r="L146" t="b">
        <v>1</v>
      </c>
      <c r="M146" t="s">
        <v>622</v>
      </c>
      <c r="N146" t="str">
        <f>"471.5"</f>
        <v>471.5</v>
      </c>
      <c r="O146" t="s">
        <v>618</v>
      </c>
      <c r="P146" t="b">
        <v>0</v>
      </c>
      <c r="R146" t="str">
        <f>"9780807890219"</f>
        <v>9780807890219</v>
      </c>
      <c r="S146" t="str">
        <f>"9781469647210"</f>
        <v>9781469647210</v>
      </c>
      <c r="T146">
        <v>1049568186</v>
      </c>
    </row>
    <row r="147" spans="1:20" x14ac:dyDescent="0.3">
      <c r="A147">
        <v>1876036</v>
      </c>
      <c r="B147" t="s">
        <v>623</v>
      </c>
      <c r="D147" t="s">
        <v>532</v>
      </c>
      <c r="E147" t="s">
        <v>533</v>
      </c>
      <c r="F147">
        <v>1976</v>
      </c>
      <c r="G147" t="s">
        <v>540</v>
      </c>
      <c r="H147" t="s">
        <v>624</v>
      </c>
      <c r="I147" t="s">
        <v>625</v>
      </c>
      <c r="J147" t="s">
        <v>24</v>
      </c>
      <c r="K147" t="s">
        <v>25</v>
      </c>
      <c r="L147" t="b">
        <v>1</v>
      </c>
      <c r="M147" t="s">
        <v>626</v>
      </c>
      <c r="N147" t="str">
        <f>"843/.5"</f>
        <v>843/.5</v>
      </c>
      <c r="O147" t="s">
        <v>618</v>
      </c>
      <c r="P147" t="b">
        <v>0</v>
      </c>
      <c r="R147" t="str">
        <f>"9780807891650"</f>
        <v>9780807891650</v>
      </c>
      <c r="S147" t="str">
        <f>"9781469647364"</f>
        <v>9781469647364</v>
      </c>
      <c r="T147">
        <v>1049568185</v>
      </c>
    </row>
    <row r="148" spans="1:20" x14ac:dyDescent="0.3">
      <c r="A148">
        <v>1876035</v>
      </c>
      <c r="B148" t="s">
        <v>627</v>
      </c>
      <c r="C148" t="s">
        <v>628</v>
      </c>
      <c r="D148" t="s">
        <v>532</v>
      </c>
      <c r="E148" t="s">
        <v>533</v>
      </c>
      <c r="F148">
        <v>1974</v>
      </c>
      <c r="G148" t="s">
        <v>569</v>
      </c>
      <c r="H148" t="s">
        <v>629</v>
      </c>
      <c r="J148" t="s">
        <v>580</v>
      </c>
      <c r="K148" t="s">
        <v>25</v>
      </c>
      <c r="L148" t="b">
        <v>1</v>
      </c>
      <c r="M148" t="s">
        <v>630</v>
      </c>
      <c r="N148" t="str">
        <f>"851/.1"</f>
        <v>851/.1</v>
      </c>
      <c r="O148" t="s">
        <v>627</v>
      </c>
      <c r="P148" t="b">
        <v>0</v>
      </c>
      <c r="R148" t="str">
        <f>"9780807891605"</f>
        <v>9780807891605</v>
      </c>
      <c r="S148" t="str">
        <f>"9781469647258"</f>
        <v>9781469647258</v>
      </c>
      <c r="T148">
        <v>1049568184</v>
      </c>
    </row>
    <row r="149" spans="1:20" x14ac:dyDescent="0.3">
      <c r="A149">
        <v>1876034</v>
      </c>
      <c r="B149" t="s">
        <v>631</v>
      </c>
      <c r="D149" t="s">
        <v>532</v>
      </c>
      <c r="E149" t="s">
        <v>533</v>
      </c>
      <c r="F149">
        <v>1976</v>
      </c>
      <c r="G149" t="s">
        <v>569</v>
      </c>
      <c r="H149" t="s">
        <v>632</v>
      </c>
      <c r="J149" t="s">
        <v>580</v>
      </c>
      <c r="K149" t="s">
        <v>25</v>
      </c>
      <c r="L149" t="b">
        <v>1</v>
      </c>
      <c r="M149" t="s">
        <v>633</v>
      </c>
      <c r="N149" t="str">
        <f>"861/.1"</f>
        <v>861/.1</v>
      </c>
      <c r="O149" t="s">
        <v>634</v>
      </c>
      <c r="P149" t="b">
        <v>0</v>
      </c>
      <c r="R149" t="str">
        <f>"9780807891452"</f>
        <v>9780807891452</v>
      </c>
      <c r="S149" t="str">
        <f>"9781469646244"</f>
        <v>9781469646244</v>
      </c>
      <c r="T149">
        <v>567824810</v>
      </c>
    </row>
    <row r="150" spans="1:20" x14ac:dyDescent="0.3">
      <c r="A150">
        <v>1876033</v>
      </c>
      <c r="B150" t="s">
        <v>635</v>
      </c>
      <c r="C150" t="s">
        <v>636</v>
      </c>
      <c r="D150" t="s">
        <v>532</v>
      </c>
      <c r="E150" t="s">
        <v>533</v>
      </c>
      <c r="F150">
        <v>1965</v>
      </c>
      <c r="G150" t="s">
        <v>569</v>
      </c>
      <c r="H150" t="s">
        <v>637</v>
      </c>
      <c r="I150" t="s">
        <v>638</v>
      </c>
      <c r="J150" t="s">
        <v>24</v>
      </c>
      <c r="K150" t="s">
        <v>25</v>
      </c>
      <c r="L150" t="b">
        <v>1</v>
      </c>
      <c r="M150" t="s">
        <v>639</v>
      </c>
      <c r="N150" t="str">
        <f>"860"</f>
        <v>860</v>
      </c>
      <c r="O150" t="s">
        <v>618</v>
      </c>
      <c r="P150" t="b">
        <v>0</v>
      </c>
      <c r="R150" t="str">
        <f>"9780807890578"</f>
        <v>9780807890578</v>
      </c>
      <c r="S150" t="str">
        <f>"9781469647289"</f>
        <v>9781469647289</v>
      </c>
      <c r="T150">
        <v>1049568182</v>
      </c>
    </row>
    <row r="151" spans="1:20" x14ac:dyDescent="0.3">
      <c r="A151">
        <v>1876032</v>
      </c>
      <c r="B151" t="s">
        <v>640</v>
      </c>
      <c r="D151" t="s">
        <v>532</v>
      </c>
      <c r="E151" t="s">
        <v>533</v>
      </c>
      <c r="F151">
        <v>1950</v>
      </c>
      <c r="G151" t="s">
        <v>641</v>
      </c>
      <c r="H151" t="s">
        <v>642</v>
      </c>
      <c r="I151" t="s">
        <v>643</v>
      </c>
      <c r="J151" t="s">
        <v>24</v>
      </c>
      <c r="K151" t="s">
        <v>25</v>
      </c>
      <c r="L151" t="b">
        <v>1</v>
      </c>
      <c r="M151" t="s">
        <v>644</v>
      </c>
      <c r="N151" t="str">
        <f>"440"</f>
        <v>440</v>
      </c>
      <c r="O151" t="s">
        <v>618</v>
      </c>
      <c r="P151" t="b">
        <v>0</v>
      </c>
      <c r="R151" t="str">
        <f>"9780807890127"</f>
        <v>9780807890127</v>
      </c>
      <c r="S151" t="str">
        <f>"9781469646114"</f>
        <v>9781469646114</v>
      </c>
      <c r="T151">
        <v>1049802289</v>
      </c>
    </row>
    <row r="152" spans="1:20" x14ac:dyDescent="0.3">
      <c r="A152">
        <v>1876031</v>
      </c>
      <c r="B152" t="s">
        <v>645</v>
      </c>
      <c r="D152" t="s">
        <v>532</v>
      </c>
      <c r="E152" t="s">
        <v>533</v>
      </c>
      <c r="F152">
        <v>1954</v>
      </c>
      <c r="G152" t="s">
        <v>611</v>
      </c>
      <c r="H152" t="s">
        <v>646</v>
      </c>
      <c r="I152" t="s">
        <v>647</v>
      </c>
      <c r="J152" t="s">
        <v>24</v>
      </c>
      <c r="K152" t="s">
        <v>25</v>
      </c>
      <c r="L152" t="b">
        <v>1</v>
      </c>
      <c r="M152" t="s">
        <v>617</v>
      </c>
      <c r="N152" t="str">
        <f>"928.2"</f>
        <v>928.2</v>
      </c>
      <c r="O152" t="s">
        <v>648</v>
      </c>
      <c r="P152" t="b">
        <v>1</v>
      </c>
      <c r="R152" t="str">
        <f>"9780807890240"</f>
        <v>9780807890240</v>
      </c>
      <c r="S152" t="str">
        <f>"9781469646107"</f>
        <v>9781469646107</v>
      </c>
      <c r="T152">
        <v>603482703</v>
      </c>
    </row>
    <row r="153" spans="1:20" x14ac:dyDescent="0.3">
      <c r="A153">
        <v>1876030</v>
      </c>
      <c r="B153" t="s">
        <v>649</v>
      </c>
      <c r="C153" t="s">
        <v>650</v>
      </c>
      <c r="D153" t="s">
        <v>532</v>
      </c>
      <c r="E153" t="s">
        <v>533</v>
      </c>
      <c r="F153">
        <v>1970</v>
      </c>
      <c r="G153" t="s">
        <v>569</v>
      </c>
      <c r="H153" t="s">
        <v>651</v>
      </c>
      <c r="I153" t="s">
        <v>652</v>
      </c>
      <c r="J153" t="s">
        <v>580</v>
      </c>
      <c r="K153" t="s">
        <v>25</v>
      </c>
      <c r="L153" t="b">
        <v>1</v>
      </c>
      <c r="M153" t="s">
        <v>653</v>
      </c>
      <c r="N153" t="str">
        <f>"879"</f>
        <v>879</v>
      </c>
      <c r="O153" t="s">
        <v>654</v>
      </c>
      <c r="P153" t="b">
        <v>0</v>
      </c>
      <c r="R153" t="str">
        <f>"9780807890905"</f>
        <v>9780807890905</v>
      </c>
      <c r="S153" t="str">
        <f>"9781469646299"</f>
        <v>9781469646299</v>
      </c>
      <c r="T153">
        <v>540863250</v>
      </c>
    </row>
    <row r="154" spans="1:20" x14ac:dyDescent="0.3">
      <c r="A154">
        <v>1876029</v>
      </c>
      <c r="B154" t="s">
        <v>655</v>
      </c>
      <c r="D154" t="s">
        <v>532</v>
      </c>
      <c r="E154" t="s">
        <v>533</v>
      </c>
      <c r="F154">
        <v>1971</v>
      </c>
      <c r="G154" t="s">
        <v>569</v>
      </c>
      <c r="H154" t="s">
        <v>656</v>
      </c>
      <c r="J154" t="s">
        <v>24</v>
      </c>
      <c r="K154" t="s">
        <v>25</v>
      </c>
      <c r="L154" t="b">
        <v>1</v>
      </c>
      <c r="M154" t="s">
        <v>657</v>
      </c>
      <c r="N154" t="str">
        <f>"862.3"</f>
        <v>862.3</v>
      </c>
      <c r="O154" t="s">
        <v>587</v>
      </c>
      <c r="P154" t="b">
        <v>0</v>
      </c>
      <c r="R154" t="str">
        <f>"9780807891049"</f>
        <v>9780807891049</v>
      </c>
      <c r="S154" t="str">
        <f>"9781469645797"</f>
        <v>9781469645797</v>
      </c>
      <c r="T154">
        <v>1049568180</v>
      </c>
    </row>
    <row r="155" spans="1:20" x14ac:dyDescent="0.3">
      <c r="A155">
        <v>1876025</v>
      </c>
      <c r="B155" t="s">
        <v>658</v>
      </c>
      <c r="D155" t="s">
        <v>532</v>
      </c>
      <c r="E155" t="s">
        <v>533</v>
      </c>
      <c r="F155">
        <v>1965</v>
      </c>
      <c r="G155" t="s">
        <v>370</v>
      </c>
      <c r="H155" t="s">
        <v>659</v>
      </c>
      <c r="I155" t="s">
        <v>660</v>
      </c>
      <c r="J155" t="s">
        <v>24</v>
      </c>
      <c r="K155" t="s">
        <v>25</v>
      </c>
      <c r="L155" t="b">
        <v>1</v>
      </c>
      <c r="M155" t="s">
        <v>661</v>
      </c>
      <c r="N155" t="str">
        <f>"479.1"</f>
        <v>479.1</v>
      </c>
      <c r="O155" t="s">
        <v>550</v>
      </c>
      <c r="P155" t="b">
        <v>0</v>
      </c>
      <c r="R155" t="str">
        <f>"9780807890547"</f>
        <v>9780807890547</v>
      </c>
      <c r="S155" t="str">
        <f>"9781469645780"</f>
        <v>9781469645780</v>
      </c>
      <c r="T155">
        <v>652449692</v>
      </c>
    </row>
    <row r="156" spans="1:20" x14ac:dyDescent="0.3">
      <c r="A156">
        <v>1876023</v>
      </c>
      <c r="B156" t="s">
        <v>662</v>
      </c>
      <c r="D156" t="s">
        <v>532</v>
      </c>
      <c r="E156" t="s">
        <v>533</v>
      </c>
      <c r="F156">
        <v>1974</v>
      </c>
      <c r="G156" t="s">
        <v>663</v>
      </c>
      <c r="H156" t="s">
        <v>584</v>
      </c>
      <c r="I156" t="s">
        <v>664</v>
      </c>
      <c r="J156" t="s">
        <v>580</v>
      </c>
      <c r="K156" t="s">
        <v>25</v>
      </c>
      <c r="L156" t="b">
        <v>1</v>
      </c>
      <c r="M156" t="s">
        <v>665</v>
      </c>
      <c r="N156" t="str">
        <f>"860/.9"</f>
        <v>860/.9</v>
      </c>
      <c r="O156" t="s">
        <v>634</v>
      </c>
      <c r="P156" t="b">
        <v>0</v>
      </c>
      <c r="R156" t="str">
        <f>"9780807891582"</f>
        <v>9780807891582</v>
      </c>
      <c r="S156" t="str">
        <f>"9781469645902"</f>
        <v>9781469645902</v>
      </c>
      <c r="T156">
        <v>603615819</v>
      </c>
    </row>
    <row r="157" spans="1:20" x14ac:dyDescent="0.3">
      <c r="A157">
        <v>1876021</v>
      </c>
      <c r="B157" t="s">
        <v>609</v>
      </c>
      <c r="C157" t="s">
        <v>610</v>
      </c>
      <c r="D157" t="s">
        <v>532</v>
      </c>
      <c r="E157" t="s">
        <v>533</v>
      </c>
      <c r="F157">
        <v>1969</v>
      </c>
      <c r="G157" t="s">
        <v>611</v>
      </c>
      <c r="H157" t="s">
        <v>666</v>
      </c>
      <c r="I157" t="s">
        <v>613</v>
      </c>
      <c r="J157" t="s">
        <v>24</v>
      </c>
      <c r="K157" t="s">
        <v>25</v>
      </c>
      <c r="L157" t="b">
        <v>1</v>
      </c>
      <c r="M157" t="s">
        <v>614</v>
      </c>
      <c r="N157" t="str">
        <f>"809.03"</f>
        <v>809.03</v>
      </c>
      <c r="O157" t="s">
        <v>550</v>
      </c>
      <c r="P157" t="b">
        <v>1</v>
      </c>
      <c r="R157" t="str">
        <f>"9780807890820"</f>
        <v>9780807890820</v>
      </c>
      <c r="S157" t="str">
        <f>"9781469645841"</f>
        <v>9781469645841</v>
      </c>
      <c r="T157">
        <v>1049568176</v>
      </c>
    </row>
    <row r="158" spans="1:20" x14ac:dyDescent="0.3">
      <c r="A158">
        <v>1876020</v>
      </c>
      <c r="B158" t="s">
        <v>667</v>
      </c>
      <c r="C158" t="s">
        <v>668</v>
      </c>
      <c r="D158" t="s">
        <v>532</v>
      </c>
      <c r="E158" t="s">
        <v>533</v>
      </c>
      <c r="F158">
        <v>1970</v>
      </c>
      <c r="G158" t="s">
        <v>540</v>
      </c>
      <c r="H158" t="s">
        <v>669</v>
      </c>
      <c r="J158" t="s">
        <v>24</v>
      </c>
      <c r="K158" t="s">
        <v>25</v>
      </c>
      <c r="L158" t="b">
        <v>1</v>
      </c>
      <c r="M158" t="s">
        <v>670</v>
      </c>
      <c r="N158" t="str">
        <f>"841/.3"</f>
        <v>841/.3</v>
      </c>
      <c r="O158" t="s">
        <v>550</v>
      </c>
      <c r="P158" t="b">
        <v>0</v>
      </c>
      <c r="R158" t="str">
        <f>"9780807890882"</f>
        <v>9780807890882</v>
      </c>
      <c r="S158" t="str">
        <f>"9781469647241"</f>
        <v>9781469647241</v>
      </c>
      <c r="T158">
        <v>655060209</v>
      </c>
    </row>
    <row r="159" spans="1:20" x14ac:dyDescent="0.3">
      <c r="A159">
        <v>1876018</v>
      </c>
      <c r="B159" t="s">
        <v>671</v>
      </c>
      <c r="C159" t="s">
        <v>672</v>
      </c>
      <c r="D159" t="s">
        <v>532</v>
      </c>
      <c r="E159" t="s">
        <v>533</v>
      </c>
      <c r="F159">
        <v>1972</v>
      </c>
      <c r="G159" t="s">
        <v>569</v>
      </c>
      <c r="H159" t="s">
        <v>673</v>
      </c>
      <c r="I159" t="s">
        <v>674</v>
      </c>
      <c r="J159" t="s">
        <v>24</v>
      </c>
      <c r="K159" t="s">
        <v>25</v>
      </c>
      <c r="L159" t="b">
        <v>1</v>
      </c>
      <c r="M159" t="s">
        <v>675</v>
      </c>
      <c r="N159" t="str">
        <f>"862/.3/09"</f>
        <v>862/.3/09</v>
      </c>
      <c r="O159" t="s">
        <v>550</v>
      </c>
      <c r="P159" t="b">
        <v>0</v>
      </c>
      <c r="R159" t="str">
        <f>"9780807891216"</f>
        <v>9780807891216</v>
      </c>
      <c r="S159" t="str">
        <f>"9781469646213"</f>
        <v>9781469646213</v>
      </c>
      <c r="T159">
        <v>1049568321</v>
      </c>
    </row>
    <row r="160" spans="1:20" x14ac:dyDescent="0.3">
      <c r="A160">
        <v>1876016</v>
      </c>
      <c r="B160" t="s">
        <v>676</v>
      </c>
      <c r="C160" t="s">
        <v>677</v>
      </c>
      <c r="D160" t="s">
        <v>532</v>
      </c>
      <c r="E160" t="s">
        <v>533</v>
      </c>
      <c r="F160">
        <v>1976</v>
      </c>
      <c r="G160" t="s">
        <v>540</v>
      </c>
      <c r="H160" t="s">
        <v>584</v>
      </c>
      <c r="I160" t="s">
        <v>678</v>
      </c>
      <c r="J160" t="s">
        <v>24</v>
      </c>
      <c r="K160" t="s">
        <v>25</v>
      </c>
      <c r="L160" t="b">
        <v>1</v>
      </c>
      <c r="M160" t="s">
        <v>679</v>
      </c>
      <c r="N160" t="str">
        <f>"841/.9/12"</f>
        <v>841/.9/12</v>
      </c>
      <c r="O160" t="s">
        <v>561</v>
      </c>
      <c r="P160" t="b">
        <v>0</v>
      </c>
      <c r="R160" t="str">
        <f>"9780807891704"</f>
        <v>9780807891704</v>
      </c>
      <c r="S160" t="str">
        <f>"9781469647388"</f>
        <v>9781469647388</v>
      </c>
      <c r="T160">
        <v>643707016</v>
      </c>
    </row>
    <row r="161" spans="1:20" x14ac:dyDescent="0.3">
      <c r="A161">
        <v>1876015</v>
      </c>
      <c r="B161" t="s">
        <v>680</v>
      </c>
      <c r="D161" t="s">
        <v>532</v>
      </c>
      <c r="E161" t="s">
        <v>533</v>
      </c>
      <c r="F161">
        <v>1962</v>
      </c>
      <c r="G161" t="s">
        <v>569</v>
      </c>
      <c r="H161" t="s">
        <v>656</v>
      </c>
      <c r="J161" t="s">
        <v>24</v>
      </c>
      <c r="K161" t="s">
        <v>25</v>
      </c>
      <c r="L161" t="b">
        <v>1</v>
      </c>
      <c r="M161" t="s">
        <v>681</v>
      </c>
      <c r="N161" t="str">
        <f>"862.3"</f>
        <v>862.3</v>
      </c>
      <c r="O161" t="s">
        <v>550</v>
      </c>
      <c r="P161" t="b">
        <v>0</v>
      </c>
      <c r="R161" t="str">
        <f>"9780807890400"</f>
        <v>9780807890400</v>
      </c>
      <c r="S161" t="str">
        <f>"9781469645810"</f>
        <v>9781469645810</v>
      </c>
      <c r="T161">
        <v>1049568173</v>
      </c>
    </row>
    <row r="162" spans="1:20" x14ac:dyDescent="0.3">
      <c r="A162">
        <v>1876013</v>
      </c>
      <c r="B162" t="s">
        <v>682</v>
      </c>
      <c r="D162" t="s">
        <v>532</v>
      </c>
      <c r="E162" t="s">
        <v>533</v>
      </c>
      <c r="F162">
        <v>1944</v>
      </c>
      <c r="G162" t="s">
        <v>540</v>
      </c>
      <c r="H162" t="s">
        <v>620</v>
      </c>
      <c r="I162" t="s">
        <v>683</v>
      </c>
      <c r="J162" t="s">
        <v>543</v>
      </c>
      <c r="K162" t="s">
        <v>25</v>
      </c>
      <c r="L162" t="b">
        <v>1</v>
      </c>
      <c r="M162" t="s">
        <v>684</v>
      </c>
      <c r="N162" t="str">
        <f>"849/.1"</f>
        <v>849/.1</v>
      </c>
      <c r="O162" t="s">
        <v>685</v>
      </c>
      <c r="P162" t="b">
        <v>0</v>
      </c>
      <c r="R162" t="str">
        <f>"9780807890059"</f>
        <v>9780807890059</v>
      </c>
      <c r="S162" t="str">
        <f>"9781469647340"</f>
        <v>9781469647340</v>
      </c>
      <c r="T162">
        <v>1049568172</v>
      </c>
    </row>
    <row r="163" spans="1:20" x14ac:dyDescent="0.3">
      <c r="A163">
        <v>1876010</v>
      </c>
      <c r="B163" t="s">
        <v>686</v>
      </c>
      <c r="D163" t="s">
        <v>532</v>
      </c>
      <c r="E163" t="s">
        <v>533</v>
      </c>
      <c r="F163">
        <v>1968</v>
      </c>
      <c r="G163" t="s">
        <v>540</v>
      </c>
      <c r="H163" t="s">
        <v>687</v>
      </c>
      <c r="I163" t="s">
        <v>688</v>
      </c>
      <c r="J163" t="s">
        <v>24</v>
      </c>
      <c r="K163" t="s">
        <v>25</v>
      </c>
      <c r="L163" t="b">
        <v>1</v>
      </c>
      <c r="M163" t="s">
        <v>689</v>
      </c>
      <c r="N163" t="str">
        <f>"841/.9/12"</f>
        <v>841/.9/12</v>
      </c>
      <c r="O163" t="s">
        <v>690</v>
      </c>
      <c r="P163" t="b">
        <v>0</v>
      </c>
      <c r="R163" t="str">
        <f>"9780807890752"</f>
        <v>9780807890752</v>
      </c>
      <c r="S163" t="str">
        <f>"9781469645674"</f>
        <v>9781469645674</v>
      </c>
      <c r="T163">
        <v>655766520</v>
      </c>
    </row>
    <row r="164" spans="1:20" x14ac:dyDescent="0.3">
      <c r="A164">
        <v>1876009</v>
      </c>
      <c r="B164" t="s">
        <v>691</v>
      </c>
      <c r="D164" t="s">
        <v>532</v>
      </c>
      <c r="E164" t="s">
        <v>533</v>
      </c>
      <c r="F164">
        <v>1977</v>
      </c>
      <c r="G164" t="s">
        <v>540</v>
      </c>
      <c r="H164" t="s">
        <v>692</v>
      </c>
      <c r="I164" t="s">
        <v>693</v>
      </c>
      <c r="J164" t="s">
        <v>24</v>
      </c>
      <c r="K164" t="s">
        <v>25</v>
      </c>
      <c r="L164" t="b">
        <v>1</v>
      </c>
      <c r="M164" t="s">
        <v>694</v>
      </c>
      <c r="N164" t="str">
        <f>"842/.4"</f>
        <v>842/.4</v>
      </c>
      <c r="O164" t="s">
        <v>695</v>
      </c>
      <c r="P164" t="b">
        <v>0</v>
      </c>
      <c r="R164" t="str">
        <f>"9780807891759"</f>
        <v>9780807891759</v>
      </c>
      <c r="S164" t="str">
        <f>"9781469646152"</f>
        <v>9781469646152</v>
      </c>
      <c r="T164">
        <v>1049802509</v>
      </c>
    </row>
    <row r="165" spans="1:20" x14ac:dyDescent="0.3">
      <c r="A165">
        <v>1876006</v>
      </c>
      <c r="B165" t="s">
        <v>696</v>
      </c>
      <c r="D165" t="s">
        <v>532</v>
      </c>
      <c r="E165" t="s">
        <v>533</v>
      </c>
      <c r="F165">
        <v>1975</v>
      </c>
      <c r="G165" t="s">
        <v>569</v>
      </c>
      <c r="H165" t="s">
        <v>697</v>
      </c>
      <c r="J165" t="s">
        <v>24</v>
      </c>
      <c r="K165" t="s">
        <v>25</v>
      </c>
      <c r="L165" t="b">
        <v>1</v>
      </c>
      <c r="M165" t="s">
        <v>698</v>
      </c>
      <c r="N165" t="str">
        <f>"862/.3"</f>
        <v>862/.3</v>
      </c>
      <c r="O165" t="s">
        <v>695</v>
      </c>
      <c r="P165" t="b">
        <v>0</v>
      </c>
      <c r="R165" t="str">
        <f>"9780807891490"</f>
        <v>9780807891490</v>
      </c>
      <c r="S165" t="str">
        <f>"9781469647425"</f>
        <v>9781469647425</v>
      </c>
      <c r="T165">
        <v>643648493</v>
      </c>
    </row>
    <row r="166" spans="1:20" x14ac:dyDescent="0.3">
      <c r="A166">
        <v>1876005</v>
      </c>
      <c r="B166" t="s">
        <v>699</v>
      </c>
      <c r="C166" t="s">
        <v>700</v>
      </c>
      <c r="D166" t="s">
        <v>532</v>
      </c>
      <c r="E166" t="s">
        <v>533</v>
      </c>
      <c r="F166">
        <v>1969</v>
      </c>
      <c r="G166" t="s">
        <v>540</v>
      </c>
      <c r="H166" t="s">
        <v>701</v>
      </c>
      <c r="I166" t="s">
        <v>702</v>
      </c>
      <c r="J166" t="s">
        <v>24</v>
      </c>
      <c r="K166" t="s">
        <v>25</v>
      </c>
      <c r="L166" t="b">
        <v>1</v>
      </c>
      <c r="M166" t="s">
        <v>703</v>
      </c>
      <c r="N166" t="str">
        <f>"848/.5/09"</f>
        <v>848/.5/09</v>
      </c>
      <c r="O166" t="s">
        <v>704</v>
      </c>
      <c r="P166" t="b">
        <v>0</v>
      </c>
      <c r="R166" t="str">
        <f>"9780807890837"</f>
        <v>9780807890837</v>
      </c>
      <c r="S166" t="str">
        <f>"9781469645940"</f>
        <v>9781469645940</v>
      </c>
      <c r="T166">
        <v>1049802729</v>
      </c>
    </row>
    <row r="167" spans="1:20" x14ac:dyDescent="0.3">
      <c r="A167">
        <v>1875817</v>
      </c>
      <c r="B167" t="s">
        <v>705</v>
      </c>
      <c r="C167" t="s">
        <v>706</v>
      </c>
      <c r="D167" t="s">
        <v>707</v>
      </c>
      <c r="E167" t="s">
        <v>708</v>
      </c>
      <c r="F167">
        <v>2005</v>
      </c>
      <c r="G167" t="s">
        <v>709</v>
      </c>
      <c r="J167" t="s">
        <v>24</v>
      </c>
      <c r="K167" t="s">
        <v>269</v>
      </c>
      <c r="L167" t="b">
        <v>1</v>
      </c>
      <c r="M167" t="s">
        <v>710</v>
      </c>
      <c r="P167" t="b">
        <v>0</v>
      </c>
      <c r="S167" t="str">
        <f>"9789352802678"</f>
        <v>9789352802678</v>
      </c>
    </row>
    <row r="168" spans="1:20" x14ac:dyDescent="0.3">
      <c r="A168">
        <v>1875815</v>
      </c>
      <c r="B168" t="s">
        <v>711</v>
      </c>
      <c r="C168" t="s">
        <v>712</v>
      </c>
      <c r="D168" t="s">
        <v>707</v>
      </c>
      <c r="E168" t="s">
        <v>708</v>
      </c>
      <c r="F168">
        <v>2006</v>
      </c>
      <c r="G168" t="s">
        <v>713</v>
      </c>
      <c r="J168" t="s">
        <v>24</v>
      </c>
      <c r="K168" t="s">
        <v>269</v>
      </c>
      <c r="L168" t="b">
        <v>1</v>
      </c>
      <c r="M168" t="s">
        <v>714</v>
      </c>
      <c r="P168" t="b">
        <v>0</v>
      </c>
      <c r="S168" t="str">
        <f>"9789352803132"</f>
        <v>9789352803132</v>
      </c>
    </row>
    <row r="169" spans="1:20" x14ac:dyDescent="0.3">
      <c r="A169">
        <v>1875811</v>
      </c>
      <c r="B169" t="s">
        <v>715</v>
      </c>
      <c r="C169" t="s">
        <v>716</v>
      </c>
      <c r="D169" t="s">
        <v>707</v>
      </c>
      <c r="E169" t="s">
        <v>708</v>
      </c>
      <c r="F169">
        <v>2005</v>
      </c>
      <c r="G169" t="s">
        <v>717</v>
      </c>
      <c r="J169" t="s">
        <v>24</v>
      </c>
      <c r="K169" t="s">
        <v>269</v>
      </c>
      <c r="L169" t="b">
        <v>1</v>
      </c>
      <c r="M169" t="s">
        <v>718</v>
      </c>
      <c r="P169" t="b">
        <v>0</v>
      </c>
      <c r="R169" t="str">
        <f>"9780761934028"</f>
        <v>9780761934028</v>
      </c>
      <c r="S169" t="str">
        <f>"9789352803088"</f>
        <v>9789352803088</v>
      </c>
    </row>
    <row r="170" spans="1:20" x14ac:dyDescent="0.3">
      <c r="A170">
        <v>1875810</v>
      </c>
      <c r="B170" t="s">
        <v>719</v>
      </c>
      <c r="C170" t="s">
        <v>720</v>
      </c>
      <c r="D170" t="s">
        <v>707</v>
      </c>
      <c r="E170" t="s">
        <v>708</v>
      </c>
      <c r="F170">
        <v>2006</v>
      </c>
      <c r="G170" t="s">
        <v>721</v>
      </c>
      <c r="J170" t="s">
        <v>24</v>
      </c>
      <c r="K170" t="s">
        <v>269</v>
      </c>
      <c r="L170" t="b">
        <v>1</v>
      </c>
      <c r="M170" t="s">
        <v>722</v>
      </c>
      <c r="P170" t="b">
        <v>0</v>
      </c>
      <c r="R170" t="str">
        <f>"9780761934073"</f>
        <v>9780761934073</v>
      </c>
      <c r="S170" t="str">
        <f>"9789352803484"</f>
        <v>9789352803484</v>
      </c>
    </row>
    <row r="171" spans="1:20" x14ac:dyDescent="0.3">
      <c r="A171">
        <v>1875494</v>
      </c>
      <c r="B171" t="s">
        <v>723</v>
      </c>
      <c r="C171" t="s">
        <v>724</v>
      </c>
      <c r="D171" t="s">
        <v>397</v>
      </c>
      <c r="E171" t="s">
        <v>397</v>
      </c>
      <c r="F171">
        <v>2012</v>
      </c>
      <c r="G171" t="s">
        <v>725</v>
      </c>
      <c r="H171" t="s">
        <v>726</v>
      </c>
      <c r="I171" t="s">
        <v>727</v>
      </c>
      <c r="J171" t="s">
        <v>24</v>
      </c>
      <c r="K171" t="s">
        <v>55</v>
      </c>
      <c r="L171" t="b">
        <v>1</v>
      </c>
      <c r="M171" t="s">
        <v>728</v>
      </c>
      <c r="N171" t="str">
        <f>"801/.950947"</f>
        <v>801/.950947</v>
      </c>
      <c r="O171" t="s">
        <v>729</v>
      </c>
      <c r="P171" t="b">
        <v>0</v>
      </c>
      <c r="R171" t="str">
        <f>"9780803239982"</f>
        <v>9780803239982</v>
      </c>
      <c r="S171" t="str">
        <f>"9780803274518"</f>
        <v>9780803274518</v>
      </c>
      <c r="T171">
        <v>958580465</v>
      </c>
    </row>
    <row r="172" spans="1:20" x14ac:dyDescent="0.3">
      <c r="A172">
        <v>1875493</v>
      </c>
      <c r="B172" t="s">
        <v>730</v>
      </c>
      <c r="C172" t="s">
        <v>731</v>
      </c>
      <c r="D172" t="s">
        <v>397</v>
      </c>
      <c r="E172" t="s">
        <v>510</v>
      </c>
      <c r="F172">
        <v>2014</v>
      </c>
      <c r="G172" t="s">
        <v>732</v>
      </c>
      <c r="H172" t="s">
        <v>733</v>
      </c>
      <c r="I172" t="s">
        <v>734</v>
      </c>
      <c r="J172" t="s">
        <v>24</v>
      </c>
      <c r="K172" t="s">
        <v>55</v>
      </c>
      <c r="L172" t="b">
        <v>1</v>
      </c>
      <c r="M172" t="s">
        <v>735</v>
      </c>
      <c r="N172" t="str">
        <f>"979.104"</f>
        <v>979.104</v>
      </c>
      <c r="P172" t="b">
        <v>0</v>
      </c>
      <c r="R172" t="str">
        <f>"9780803248687"</f>
        <v>9780803248687</v>
      </c>
      <c r="S172" t="str">
        <f>"9780803266919"</f>
        <v>9780803266919</v>
      </c>
      <c r="T172">
        <v>958500936</v>
      </c>
    </row>
    <row r="173" spans="1:20" x14ac:dyDescent="0.3">
      <c r="A173">
        <v>1875492</v>
      </c>
      <c r="B173" t="s">
        <v>736</v>
      </c>
      <c r="C173" t="s">
        <v>737</v>
      </c>
      <c r="D173" t="s">
        <v>397</v>
      </c>
      <c r="E173" t="s">
        <v>510</v>
      </c>
      <c r="F173">
        <v>2014</v>
      </c>
      <c r="G173" t="s">
        <v>738</v>
      </c>
      <c r="H173" t="s">
        <v>739</v>
      </c>
      <c r="I173" t="s">
        <v>740</v>
      </c>
      <c r="J173" t="s">
        <v>24</v>
      </c>
      <c r="K173" t="s">
        <v>55</v>
      </c>
      <c r="L173" t="b">
        <v>1</v>
      </c>
      <c r="M173" t="s">
        <v>741</v>
      </c>
      <c r="N173" t="str">
        <f>"813/.54"</f>
        <v>813/.54</v>
      </c>
      <c r="O173" t="s">
        <v>742</v>
      </c>
      <c r="P173" t="b">
        <v>1</v>
      </c>
      <c r="R173" t="str">
        <f>"9780803298484"</f>
        <v>9780803298484</v>
      </c>
      <c r="S173" t="str">
        <f>"9780803299252"</f>
        <v>9780803299252</v>
      </c>
      <c r="T173">
        <v>953448205</v>
      </c>
    </row>
    <row r="174" spans="1:20" x14ac:dyDescent="0.3">
      <c r="A174">
        <v>1875491</v>
      </c>
      <c r="B174" t="s">
        <v>743</v>
      </c>
      <c r="C174" t="s">
        <v>744</v>
      </c>
      <c r="D174" t="s">
        <v>397</v>
      </c>
      <c r="E174" t="s">
        <v>510</v>
      </c>
      <c r="F174">
        <v>2005</v>
      </c>
      <c r="G174" t="s">
        <v>738</v>
      </c>
      <c r="H174" t="s">
        <v>739</v>
      </c>
      <c r="I174" t="s">
        <v>745</v>
      </c>
      <c r="J174" t="s">
        <v>24</v>
      </c>
      <c r="K174" t="s">
        <v>55</v>
      </c>
      <c r="L174" t="b">
        <v>1</v>
      </c>
      <c r="M174" t="s">
        <v>741</v>
      </c>
      <c r="N174" t="str">
        <f>"813.54"</f>
        <v>813.54</v>
      </c>
      <c r="O174" t="s">
        <v>742</v>
      </c>
      <c r="P174" t="b">
        <v>1</v>
      </c>
      <c r="R174" t="str">
        <f>"9780803298491"</f>
        <v>9780803298491</v>
      </c>
      <c r="S174" t="str">
        <f>"9780803299238"</f>
        <v>9780803299238</v>
      </c>
      <c r="T174">
        <v>918985895</v>
      </c>
    </row>
    <row r="175" spans="1:20" x14ac:dyDescent="0.3">
      <c r="A175">
        <v>1875490</v>
      </c>
      <c r="B175" t="s">
        <v>746</v>
      </c>
      <c r="C175" t="s">
        <v>747</v>
      </c>
      <c r="D175" t="s">
        <v>397</v>
      </c>
      <c r="E175" t="s">
        <v>510</v>
      </c>
      <c r="F175">
        <v>2005</v>
      </c>
      <c r="G175" t="s">
        <v>748</v>
      </c>
      <c r="H175" t="s">
        <v>749</v>
      </c>
      <c r="I175" t="s">
        <v>750</v>
      </c>
      <c r="J175" t="s">
        <v>24</v>
      </c>
      <c r="K175" t="s">
        <v>55</v>
      </c>
      <c r="L175" t="b">
        <v>1</v>
      </c>
      <c r="M175" t="s">
        <v>741</v>
      </c>
      <c r="N175" t="str">
        <f>"813/.54"</f>
        <v>813/.54</v>
      </c>
      <c r="O175" t="s">
        <v>742</v>
      </c>
      <c r="P175" t="b">
        <v>1</v>
      </c>
      <c r="R175" t="str">
        <f>"9780803298514"</f>
        <v>9780803298514</v>
      </c>
      <c r="S175" t="str">
        <f>"9780803298972"</f>
        <v>9780803298972</v>
      </c>
      <c r="T175">
        <v>898181998</v>
      </c>
    </row>
    <row r="176" spans="1:20" x14ac:dyDescent="0.3">
      <c r="A176">
        <v>1872941</v>
      </c>
      <c r="B176" t="s">
        <v>751</v>
      </c>
      <c r="C176" t="s">
        <v>752</v>
      </c>
      <c r="D176" t="s">
        <v>397</v>
      </c>
      <c r="E176" t="s">
        <v>510</v>
      </c>
      <c r="F176">
        <v>2000</v>
      </c>
      <c r="G176" t="s">
        <v>753</v>
      </c>
      <c r="H176" t="s">
        <v>754</v>
      </c>
      <c r="I176" t="s">
        <v>755</v>
      </c>
      <c r="J176" t="s">
        <v>24</v>
      </c>
      <c r="K176" t="s">
        <v>55</v>
      </c>
      <c r="L176" t="b">
        <v>1</v>
      </c>
      <c r="M176" t="s">
        <v>756</v>
      </c>
      <c r="N176" t="str">
        <f>"978"</f>
        <v>978</v>
      </c>
      <c r="O176" t="s">
        <v>757</v>
      </c>
      <c r="P176" t="b">
        <v>0</v>
      </c>
      <c r="R176" t="str">
        <f>"9780803273009"</f>
        <v>9780803273009</v>
      </c>
      <c r="S176" t="str">
        <f>"9780803274815"</f>
        <v>9780803274815</v>
      </c>
      <c r="T176">
        <v>900196672</v>
      </c>
    </row>
    <row r="177" spans="1:20" x14ac:dyDescent="0.3">
      <c r="A177">
        <v>1872940</v>
      </c>
      <c r="B177" t="s">
        <v>758</v>
      </c>
      <c r="C177" t="s">
        <v>759</v>
      </c>
      <c r="D177" t="s">
        <v>397</v>
      </c>
      <c r="E177" t="s">
        <v>510</v>
      </c>
      <c r="F177">
        <v>2000</v>
      </c>
      <c r="G177" t="s">
        <v>753</v>
      </c>
      <c r="H177" t="s">
        <v>754</v>
      </c>
      <c r="I177" t="s">
        <v>755</v>
      </c>
      <c r="J177" t="s">
        <v>24</v>
      </c>
      <c r="K177" t="s">
        <v>55</v>
      </c>
      <c r="L177" t="b">
        <v>1</v>
      </c>
      <c r="M177" t="s">
        <v>760</v>
      </c>
      <c r="N177" t="str">
        <f>"978"</f>
        <v>978</v>
      </c>
      <c r="O177" t="s">
        <v>757</v>
      </c>
      <c r="P177" t="b">
        <v>0</v>
      </c>
      <c r="R177" t="str">
        <f>"9780803272996"</f>
        <v>9780803272996</v>
      </c>
      <c r="S177" t="str">
        <f>"9780803274792"</f>
        <v>9780803274792</v>
      </c>
      <c r="T177">
        <v>900196673</v>
      </c>
    </row>
    <row r="178" spans="1:20" x14ac:dyDescent="0.3">
      <c r="A178">
        <v>1872939</v>
      </c>
      <c r="B178" t="s">
        <v>761</v>
      </c>
      <c r="C178" t="s">
        <v>762</v>
      </c>
      <c r="D178" t="s">
        <v>397</v>
      </c>
      <c r="E178" t="s">
        <v>510</v>
      </c>
      <c r="F178">
        <v>1999</v>
      </c>
      <c r="G178" t="s">
        <v>753</v>
      </c>
      <c r="H178" t="s">
        <v>754</v>
      </c>
      <c r="I178" t="s">
        <v>755</v>
      </c>
      <c r="J178" t="s">
        <v>24</v>
      </c>
      <c r="K178" t="s">
        <v>55</v>
      </c>
      <c r="L178" t="b">
        <v>1</v>
      </c>
      <c r="M178" t="s">
        <v>763</v>
      </c>
      <c r="N178" t="str">
        <f>"978"</f>
        <v>978</v>
      </c>
      <c r="O178" t="s">
        <v>757</v>
      </c>
      <c r="P178" t="b">
        <v>0</v>
      </c>
      <c r="R178" t="str">
        <f>"9780803272989"</f>
        <v>9780803272989</v>
      </c>
      <c r="S178" t="str">
        <f>"9780803274778"</f>
        <v>9780803274778</v>
      </c>
      <c r="T178">
        <v>906811797</v>
      </c>
    </row>
    <row r="179" spans="1:20" x14ac:dyDescent="0.3">
      <c r="A179">
        <v>1872938</v>
      </c>
      <c r="B179" t="s">
        <v>764</v>
      </c>
      <c r="C179" t="s">
        <v>765</v>
      </c>
      <c r="D179" t="s">
        <v>397</v>
      </c>
      <c r="E179" t="s">
        <v>510</v>
      </c>
      <c r="F179">
        <v>1999</v>
      </c>
      <c r="G179" t="s">
        <v>753</v>
      </c>
      <c r="H179" t="s">
        <v>754</v>
      </c>
      <c r="I179" t="s">
        <v>755</v>
      </c>
      <c r="J179" t="s">
        <v>24</v>
      </c>
      <c r="K179" t="s">
        <v>55</v>
      </c>
      <c r="L179" t="b">
        <v>1</v>
      </c>
      <c r="M179" t="s">
        <v>766</v>
      </c>
      <c r="N179" t="str">
        <f>"978"</f>
        <v>978</v>
      </c>
      <c r="O179" t="s">
        <v>757</v>
      </c>
      <c r="P179" t="b">
        <v>0</v>
      </c>
      <c r="R179" t="str">
        <f>"9780803272972"</f>
        <v>9780803272972</v>
      </c>
      <c r="S179" t="str">
        <f>"9780803276925"</f>
        <v>9780803276925</v>
      </c>
      <c r="T179">
        <v>906811784</v>
      </c>
    </row>
    <row r="180" spans="1:20" x14ac:dyDescent="0.3">
      <c r="A180">
        <v>1872937</v>
      </c>
      <c r="B180" t="s">
        <v>767</v>
      </c>
      <c r="C180" t="s">
        <v>768</v>
      </c>
      <c r="D180" t="s">
        <v>397</v>
      </c>
      <c r="E180" t="s">
        <v>397</v>
      </c>
      <c r="F180">
        <v>2014</v>
      </c>
      <c r="G180" t="s">
        <v>753</v>
      </c>
      <c r="H180" t="s">
        <v>769</v>
      </c>
      <c r="I180" t="s">
        <v>399</v>
      </c>
      <c r="J180" t="s">
        <v>24</v>
      </c>
      <c r="K180" t="s">
        <v>55</v>
      </c>
      <c r="L180" t="b">
        <v>1</v>
      </c>
      <c r="M180" t="s">
        <v>770</v>
      </c>
      <c r="N180" t="str">
        <f>"355.3;355.3/51/0973;355.3510973"</f>
        <v>355.3;355.3/51/0973;355.3510973</v>
      </c>
      <c r="P180" t="b">
        <v>0</v>
      </c>
      <c r="R180" t="str">
        <f>"9780803245501"</f>
        <v>9780803245501</v>
      </c>
      <c r="S180" t="str">
        <f>"9780803294707"</f>
        <v>9780803294707</v>
      </c>
      <c r="T180">
        <v>958580309</v>
      </c>
    </row>
    <row r="181" spans="1:20" x14ac:dyDescent="0.3">
      <c r="A181">
        <v>1872936</v>
      </c>
      <c r="B181" t="s">
        <v>771</v>
      </c>
      <c r="C181" t="s">
        <v>772</v>
      </c>
      <c r="D181" t="s">
        <v>397</v>
      </c>
      <c r="E181" t="s">
        <v>510</v>
      </c>
      <c r="F181">
        <v>2014</v>
      </c>
      <c r="G181" t="s">
        <v>773</v>
      </c>
      <c r="H181" t="s">
        <v>774</v>
      </c>
      <c r="I181" t="s">
        <v>775</v>
      </c>
      <c r="J181" t="s">
        <v>24</v>
      </c>
      <c r="K181" t="s">
        <v>55</v>
      </c>
      <c r="L181" t="b">
        <v>1</v>
      </c>
      <c r="M181" t="s">
        <v>776</v>
      </c>
      <c r="N181" t="str">
        <f>"796.357/092;796.357092"</f>
        <v>796.357/092;796.357092</v>
      </c>
      <c r="P181" t="b">
        <v>0</v>
      </c>
      <c r="R181" t="str">
        <f>"9780803294332"</f>
        <v>9780803294332</v>
      </c>
      <c r="S181" t="str">
        <f>"9780803294684"</f>
        <v>9780803294684</v>
      </c>
      <c r="T181">
        <v>958580306</v>
      </c>
    </row>
    <row r="182" spans="1:20" x14ac:dyDescent="0.3">
      <c r="A182">
        <v>1872935</v>
      </c>
      <c r="B182" t="s">
        <v>777</v>
      </c>
      <c r="C182" t="s">
        <v>778</v>
      </c>
      <c r="D182" t="s">
        <v>397</v>
      </c>
      <c r="E182" t="s">
        <v>779</v>
      </c>
      <c r="F182">
        <v>2011</v>
      </c>
      <c r="G182" t="s">
        <v>73</v>
      </c>
      <c r="H182" t="s">
        <v>780</v>
      </c>
      <c r="I182" t="s">
        <v>781</v>
      </c>
      <c r="J182" t="s">
        <v>24</v>
      </c>
      <c r="K182" t="s">
        <v>55</v>
      </c>
      <c r="L182" t="b">
        <v>1</v>
      </c>
      <c r="M182" t="s">
        <v>782</v>
      </c>
      <c r="N182" t="str">
        <f>"296.4/5371"</f>
        <v>296.4/5371</v>
      </c>
      <c r="P182" t="b">
        <v>0</v>
      </c>
      <c r="R182" t="str">
        <f>"9780827609259"</f>
        <v>9780827609259</v>
      </c>
      <c r="S182" t="str">
        <f>"9780827612358"</f>
        <v>9780827612358</v>
      </c>
      <c r="T182">
        <v>945971300</v>
      </c>
    </row>
    <row r="183" spans="1:20" x14ac:dyDescent="0.3">
      <c r="A183">
        <v>1872933</v>
      </c>
      <c r="B183" t="s">
        <v>783</v>
      </c>
      <c r="D183" t="s">
        <v>397</v>
      </c>
      <c r="E183" t="s">
        <v>397</v>
      </c>
      <c r="F183">
        <v>2014</v>
      </c>
      <c r="G183" t="s">
        <v>60</v>
      </c>
      <c r="H183" t="s">
        <v>784</v>
      </c>
      <c r="I183" t="s">
        <v>785</v>
      </c>
      <c r="J183" t="s">
        <v>24</v>
      </c>
      <c r="K183" t="s">
        <v>55</v>
      </c>
      <c r="L183" t="b">
        <v>1</v>
      </c>
      <c r="M183" t="s">
        <v>786</v>
      </c>
      <c r="N183" t="str">
        <f>"813.52"</f>
        <v>813.52</v>
      </c>
      <c r="P183" t="b">
        <v>0</v>
      </c>
      <c r="R183" t="str">
        <f>"9780803207172"</f>
        <v>9780803207172</v>
      </c>
      <c r="S183" t="str">
        <f>"9780803293861"</f>
        <v>9780803293861</v>
      </c>
      <c r="T183">
        <v>905655640</v>
      </c>
    </row>
    <row r="184" spans="1:20" x14ac:dyDescent="0.3">
      <c r="A184">
        <v>1872932</v>
      </c>
      <c r="B184" t="s">
        <v>787</v>
      </c>
      <c r="C184" t="s">
        <v>788</v>
      </c>
      <c r="D184" t="s">
        <v>397</v>
      </c>
      <c r="E184" t="s">
        <v>397</v>
      </c>
      <c r="F184">
        <v>2015</v>
      </c>
      <c r="G184" t="s">
        <v>40</v>
      </c>
      <c r="H184" t="s">
        <v>789</v>
      </c>
      <c r="J184" t="s">
        <v>24</v>
      </c>
      <c r="K184" t="s">
        <v>55</v>
      </c>
      <c r="L184" t="b">
        <v>1</v>
      </c>
      <c r="M184" t="s">
        <v>786</v>
      </c>
      <c r="N184" t="str">
        <f>"813"</f>
        <v>813</v>
      </c>
      <c r="P184" t="b">
        <v>1</v>
      </c>
      <c r="R184" t="str">
        <f>"9780803208957"</f>
        <v>9780803208957</v>
      </c>
      <c r="S184" t="str">
        <f>"9780803284104"</f>
        <v>9780803284104</v>
      </c>
      <c r="T184">
        <v>901314673</v>
      </c>
    </row>
    <row r="185" spans="1:20" x14ac:dyDescent="0.3">
      <c r="A185">
        <v>1872931</v>
      </c>
      <c r="B185" t="s">
        <v>790</v>
      </c>
      <c r="C185" t="s">
        <v>791</v>
      </c>
      <c r="D185" t="s">
        <v>397</v>
      </c>
      <c r="E185" t="s">
        <v>397</v>
      </c>
      <c r="F185">
        <v>1981</v>
      </c>
      <c r="G185" t="s">
        <v>40</v>
      </c>
      <c r="H185" t="s">
        <v>792</v>
      </c>
      <c r="I185" t="s">
        <v>793</v>
      </c>
      <c r="J185" t="s">
        <v>24</v>
      </c>
      <c r="K185" t="s">
        <v>55</v>
      </c>
      <c r="L185" t="b">
        <v>1</v>
      </c>
      <c r="M185" t="s">
        <v>794</v>
      </c>
      <c r="N185" t="str">
        <f>"813/.52"</f>
        <v>813/.52</v>
      </c>
      <c r="P185" t="b">
        <v>1</v>
      </c>
      <c r="R185" t="str">
        <f>"9780803230699"</f>
        <v>9780803230699</v>
      </c>
      <c r="S185" t="str">
        <f>"9780803284067"</f>
        <v>9780803284067</v>
      </c>
      <c r="T185">
        <v>562208864</v>
      </c>
    </row>
    <row r="186" spans="1:20" x14ac:dyDescent="0.3">
      <c r="A186">
        <v>1872930</v>
      </c>
      <c r="B186" t="s">
        <v>795</v>
      </c>
      <c r="D186" t="s">
        <v>397</v>
      </c>
      <c r="E186" t="s">
        <v>397</v>
      </c>
      <c r="F186">
        <v>2014</v>
      </c>
      <c r="G186" t="s">
        <v>796</v>
      </c>
      <c r="H186" t="s">
        <v>797</v>
      </c>
      <c r="I186" t="s">
        <v>798</v>
      </c>
      <c r="J186" t="s">
        <v>24</v>
      </c>
      <c r="K186" t="s">
        <v>55</v>
      </c>
      <c r="L186" t="b">
        <v>1</v>
      </c>
      <c r="M186" t="s">
        <v>799</v>
      </c>
      <c r="N186" t="str">
        <f>"822.5"</f>
        <v>822.5</v>
      </c>
      <c r="P186" t="b">
        <v>1</v>
      </c>
      <c r="R186" t="str">
        <f>"9780803203655"</f>
        <v>9780803203655</v>
      </c>
      <c r="S186" t="str">
        <f>"9780803276987"</f>
        <v>9780803276987</v>
      </c>
      <c r="T186">
        <v>958580248</v>
      </c>
    </row>
    <row r="187" spans="1:20" x14ac:dyDescent="0.3">
      <c r="A187">
        <v>1872929</v>
      </c>
      <c r="B187" t="s">
        <v>800</v>
      </c>
      <c r="C187" t="s">
        <v>801</v>
      </c>
      <c r="D187" t="s">
        <v>397</v>
      </c>
      <c r="E187" t="s">
        <v>397</v>
      </c>
      <c r="F187">
        <v>1999</v>
      </c>
      <c r="G187" t="s">
        <v>802</v>
      </c>
      <c r="H187" t="s">
        <v>803</v>
      </c>
      <c r="I187" t="s">
        <v>804</v>
      </c>
      <c r="J187" t="s">
        <v>24</v>
      </c>
      <c r="K187" t="s">
        <v>55</v>
      </c>
      <c r="L187" t="b">
        <v>1</v>
      </c>
      <c r="M187" t="s">
        <v>805</v>
      </c>
      <c r="N187" t="str">
        <f>"791.43/6520397"</f>
        <v>791.43/6520397</v>
      </c>
      <c r="P187" t="b">
        <v>0</v>
      </c>
      <c r="R187" t="str">
        <f>"9780803277908"</f>
        <v>9780803277908</v>
      </c>
      <c r="S187" t="str">
        <f>"9780803278370"</f>
        <v>9780803278370</v>
      </c>
      <c r="T187">
        <v>607132165</v>
      </c>
    </row>
    <row r="188" spans="1:20" x14ac:dyDescent="0.3">
      <c r="A188">
        <v>1869078</v>
      </c>
      <c r="B188" t="s">
        <v>806</v>
      </c>
      <c r="C188" t="s">
        <v>807</v>
      </c>
      <c r="D188" t="s">
        <v>808</v>
      </c>
      <c r="E188" t="s">
        <v>809</v>
      </c>
      <c r="F188">
        <v>2016</v>
      </c>
      <c r="G188" t="s">
        <v>810</v>
      </c>
      <c r="H188" t="s">
        <v>811</v>
      </c>
      <c r="I188" t="s">
        <v>812</v>
      </c>
      <c r="J188" t="s">
        <v>24</v>
      </c>
      <c r="K188" t="s">
        <v>55</v>
      </c>
      <c r="L188" t="b">
        <v>1</v>
      </c>
      <c r="M188" t="s">
        <v>813</v>
      </c>
      <c r="N188" t="str">
        <f>"823.0872909"</f>
        <v>823.0872909</v>
      </c>
      <c r="O188" t="s">
        <v>814</v>
      </c>
      <c r="P188" t="b">
        <v>0</v>
      </c>
      <c r="R188" t="str">
        <f>"9780748696741"</f>
        <v>9780748696741</v>
      </c>
      <c r="S188" t="str">
        <f>"9781474409230"</f>
        <v>9781474409230</v>
      </c>
      <c r="T188">
        <v>946936554</v>
      </c>
    </row>
    <row r="189" spans="1:20" x14ac:dyDescent="0.3">
      <c r="A189">
        <v>1868664</v>
      </c>
      <c r="B189" t="s">
        <v>815</v>
      </c>
      <c r="C189" t="s">
        <v>816</v>
      </c>
      <c r="D189" t="s">
        <v>817</v>
      </c>
      <c r="E189" t="s">
        <v>818</v>
      </c>
      <c r="F189">
        <v>2009</v>
      </c>
      <c r="G189" t="s">
        <v>819</v>
      </c>
      <c r="J189" t="s">
        <v>24</v>
      </c>
      <c r="K189" t="s">
        <v>55</v>
      </c>
      <c r="L189" t="b">
        <v>1</v>
      </c>
      <c r="M189" t="s">
        <v>820</v>
      </c>
      <c r="P189" t="b">
        <v>0</v>
      </c>
      <c r="R189" t="str">
        <f>"9781423236511"</f>
        <v>9781423236511</v>
      </c>
      <c r="S189" t="str">
        <f>"9781423237181"</f>
        <v>9781423237181</v>
      </c>
    </row>
    <row r="190" spans="1:20" x14ac:dyDescent="0.3">
      <c r="A190">
        <v>1868663</v>
      </c>
      <c r="B190" t="s">
        <v>821</v>
      </c>
      <c r="D190" t="s">
        <v>817</v>
      </c>
      <c r="E190" t="s">
        <v>818</v>
      </c>
      <c r="F190">
        <v>2009</v>
      </c>
      <c r="G190" t="s">
        <v>340</v>
      </c>
      <c r="J190" t="s">
        <v>24</v>
      </c>
      <c r="K190" t="s">
        <v>55</v>
      </c>
      <c r="L190" t="b">
        <v>1</v>
      </c>
      <c r="M190" t="s">
        <v>822</v>
      </c>
      <c r="P190" t="b">
        <v>0</v>
      </c>
      <c r="R190" t="str">
        <f>"9781423219996"</f>
        <v>9781423219996</v>
      </c>
      <c r="S190" t="str">
        <f>"9781423237143"</f>
        <v>9781423237143</v>
      </c>
    </row>
    <row r="191" spans="1:20" x14ac:dyDescent="0.3">
      <c r="A191">
        <v>1868662</v>
      </c>
      <c r="B191" t="s">
        <v>823</v>
      </c>
      <c r="D191" t="s">
        <v>817</v>
      </c>
      <c r="E191" t="s">
        <v>818</v>
      </c>
      <c r="F191">
        <v>2009</v>
      </c>
      <c r="G191" t="s">
        <v>824</v>
      </c>
      <c r="J191" t="s">
        <v>24</v>
      </c>
      <c r="K191" t="s">
        <v>55</v>
      </c>
      <c r="L191" t="b">
        <v>1</v>
      </c>
      <c r="M191" t="s">
        <v>825</v>
      </c>
      <c r="P191" t="b">
        <v>0</v>
      </c>
      <c r="R191" t="str">
        <f>"9781572225381"</f>
        <v>9781572225381</v>
      </c>
      <c r="S191" t="str">
        <f>"9781423212683"</f>
        <v>9781423212683</v>
      </c>
    </row>
    <row r="192" spans="1:20" x14ac:dyDescent="0.3">
      <c r="A192">
        <v>1868661</v>
      </c>
      <c r="B192" t="s">
        <v>826</v>
      </c>
      <c r="D192" t="s">
        <v>817</v>
      </c>
      <c r="E192" t="s">
        <v>818</v>
      </c>
      <c r="F192">
        <v>2009</v>
      </c>
      <c r="G192" t="s">
        <v>319</v>
      </c>
      <c r="J192" t="s">
        <v>24</v>
      </c>
      <c r="K192" t="s">
        <v>55</v>
      </c>
      <c r="L192" t="b">
        <v>1</v>
      </c>
      <c r="M192" t="s">
        <v>825</v>
      </c>
      <c r="P192" t="b">
        <v>0</v>
      </c>
      <c r="R192" t="str">
        <f>"9781572226388"</f>
        <v>9781572226388</v>
      </c>
      <c r="S192" t="str">
        <f>"9781423237877"</f>
        <v>9781423237877</v>
      </c>
    </row>
    <row r="193" spans="1:20" x14ac:dyDescent="0.3">
      <c r="A193">
        <v>1868401</v>
      </c>
      <c r="B193" t="s">
        <v>827</v>
      </c>
      <c r="D193" t="s">
        <v>828</v>
      </c>
      <c r="E193" t="s">
        <v>828</v>
      </c>
      <c r="F193">
        <v>2013</v>
      </c>
      <c r="J193" t="s">
        <v>829</v>
      </c>
      <c r="K193" t="s">
        <v>55</v>
      </c>
      <c r="L193" t="b">
        <v>1</v>
      </c>
      <c r="M193" t="s">
        <v>830</v>
      </c>
      <c r="P193" t="b">
        <v>0</v>
      </c>
      <c r="R193" t="str">
        <f>"9789187351204"</f>
        <v>9789187351204</v>
      </c>
      <c r="S193" t="str">
        <f>"9789187351259"</f>
        <v>9789187351259</v>
      </c>
    </row>
    <row r="194" spans="1:20" x14ac:dyDescent="0.3">
      <c r="A194">
        <v>1868398</v>
      </c>
      <c r="B194" t="s">
        <v>831</v>
      </c>
      <c r="D194" t="s">
        <v>828</v>
      </c>
      <c r="E194" t="s">
        <v>828</v>
      </c>
      <c r="F194">
        <v>2013</v>
      </c>
      <c r="J194" t="s">
        <v>24</v>
      </c>
      <c r="K194" t="s">
        <v>55</v>
      </c>
      <c r="L194" t="b">
        <v>1</v>
      </c>
      <c r="M194" t="s">
        <v>832</v>
      </c>
      <c r="P194" t="b">
        <v>0</v>
      </c>
      <c r="R194" t="str">
        <f>"9789187351044"</f>
        <v>9789187351044</v>
      </c>
      <c r="S194" t="str">
        <f>"9789187351068"</f>
        <v>9789187351068</v>
      </c>
    </row>
    <row r="195" spans="1:20" x14ac:dyDescent="0.3">
      <c r="A195">
        <v>1868393</v>
      </c>
      <c r="B195" t="s">
        <v>833</v>
      </c>
      <c r="D195" t="s">
        <v>828</v>
      </c>
      <c r="E195" t="s">
        <v>828</v>
      </c>
      <c r="F195">
        <v>2013</v>
      </c>
      <c r="J195" t="s">
        <v>24</v>
      </c>
      <c r="K195" t="s">
        <v>55</v>
      </c>
      <c r="L195" t="b">
        <v>1</v>
      </c>
      <c r="M195" t="s">
        <v>834</v>
      </c>
      <c r="P195" t="b">
        <v>0</v>
      </c>
      <c r="R195" t="str">
        <f>"9789185509386"</f>
        <v>9789185509386</v>
      </c>
      <c r="S195" t="str">
        <f>"9789187675010"</f>
        <v>9789187675010</v>
      </c>
    </row>
    <row r="196" spans="1:20" x14ac:dyDescent="0.3">
      <c r="A196">
        <v>1868371</v>
      </c>
      <c r="B196" t="s">
        <v>835</v>
      </c>
      <c r="D196" t="s">
        <v>828</v>
      </c>
      <c r="E196" t="s">
        <v>828</v>
      </c>
      <c r="F196">
        <v>2015</v>
      </c>
      <c r="J196" t="s">
        <v>24</v>
      </c>
      <c r="K196" t="s">
        <v>55</v>
      </c>
      <c r="L196" t="b">
        <v>1</v>
      </c>
      <c r="M196" t="s">
        <v>836</v>
      </c>
      <c r="P196" t="b">
        <v>0</v>
      </c>
      <c r="R196" t="str">
        <f>"9789187675454"</f>
        <v>9789187675454</v>
      </c>
      <c r="S196" t="str">
        <f>"9789187675485"</f>
        <v>9789187675485</v>
      </c>
    </row>
    <row r="197" spans="1:20" x14ac:dyDescent="0.3">
      <c r="A197">
        <v>1868361</v>
      </c>
      <c r="B197" t="s">
        <v>837</v>
      </c>
      <c r="D197" t="s">
        <v>828</v>
      </c>
      <c r="E197" t="s">
        <v>828</v>
      </c>
      <c r="F197">
        <v>2016</v>
      </c>
      <c r="J197" t="s">
        <v>24</v>
      </c>
      <c r="K197" t="s">
        <v>55</v>
      </c>
      <c r="L197" t="b">
        <v>1</v>
      </c>
      <c r="M197" t="s">
        <v>838</v>
      </c>
      <c r="P197" t="b">
        <v>0</v>
      </c>
      <c r="R197" t="str">
        <f>"9789188168351"</f>
        <v>9789188168351</v>
      </c>
      <c r="S197" t="str">
        <f>"9789188168368"</f>
        <v>9789188168368</v>
      </c>
    </row>
    <row r="198" spans="1:20" x14ac:dyDescent="0.3">
      <c r="A198">
        <v>1868119</v>
      </c>
      <c r="B198" t="s">
        <v>839</v>
      </c>
      <c r="D198" t="s">
        <v>407</v>
      </c>
      <c r="E198" t="s">
        <v>407</v>
      </c>
      <c r="F198">
        <v>2010</v>
      </c>
      <c r="J198" t="s">
        <v>24</v>
      </c>
      <c r="K198" t="s">
        <v>25</v>
      </c>
      <c r="L198" t="b">
        <v>1</v>
      </c>
      <c r="M198" t="s">
        <v>840</v>
      </c>
      <c r="P198" t="b">
        <v>0</v>
      </c>
      <c r="R198" t="str">
        <f>"9789654062343"</f>
        <v>9789654062343</v>
      </c>
      <c r="S198" t="str">
        <f>"9789654065825"</f>
        <v>9789654065825</v>
      </c>
    </row>
    <row r="199" spans="1:20" x14ac:dyDescent="0.3">
      <c r="A199">
        <v>1868118</v>
      </c>
      <c r="B199" t="s">
        <v>841</v>
      </c>
      <c r="D199" t="s">
        <v>407</v>
      </c>
      <c r="E199" t="s">
        <v>407</v>
      </c>
      <c r="F199">
        <v>2009</v>
      </c>
      <c r="J199" t="s">
        <v>24</v>
      </c>
      <c r="K199" t="s">
        <v>25</v>
      </c>
      <c r="L199" t="b">
        <v>1</v>
      </c>
      <c r="M199" t="s">
        <v>842</v>
      </c>
      <c r="P199" t="b">
        <v>0</v>
      </c>
      <c r="R199" t="str">
        <f>"9789654062268"</f>
        <v>9789654062268</v>
      </c>
      <c r="S199" t="str">
        <f>"9789654065795"</f>
        <v>9789654065795</v>
      </c>
    </row>
    <row r="200" spans="1:20" x14ac:dyDescent="0.3">
      <c r="A200">
        <v>1868116</v>
      </c>
      <c r="B200" t="s">
        <v>843</v>
      </c>
      <c r="D200" t="s">
        <v>407</v>
      </c>
      <c r="E200" t="s">
        <v>407</v>
      </c>
      <c r="F200">
        <v>2010</v>
      </c>
      <c r="J200" t="s">
        <v>24</v>
      </c>
      <c r="K200" t="s">
        <v>25</v>
      </c>
      <c r="L200" t="b">
        <v>1</v>
      </c>
      <c r="M200" t="s">
        <v>844</v>
      </c>
      <c r="P200" t="b">
        <v>0</v>
      </c>
      <c r="R200" t="str">
        <f>"9789654062336"</f>
        <v>9789654062336</v>
      </c>
      <c r="S200" t="str">
        <f>"9789654065818"</f>
        <v>9789654065818</v>
      </c>
    </row>
    <row r="201" spans="1:20" x14ac:dyDescent="0.3">
      <c r="A201">
        <v>1868115</v>
      </c>
      <c r="B201" t="s">
        <v>845</v>
      </c>
      <c r="D201" t="s">
        <v>407</v>
      </c>
      <c r="E201" t="s">
        <v>407</v>
      </c>
      <c r="F201">
        <v>2009</v>
      </c>
      <c r="J201" t="s">
        <v>24</v>
      </c>
      <c r="K201" t="s">
        <v>25</v>
      </c>
      <c r="L201" t="b">
        <v>1</v>
      </c>
      <c r="M201" t="s">
        <v>846</v>
      </c>
      <c r="P201" t="b">
        <v>0</v>
      </c>
      <c r="R201" t="str">
        <f>"9789654062275"</f>
        <v>9789654062275</v>
      </c>
      <c r="S201" t="str">
        <f>"9789654065801"</f>
        <v>9789654065801</v>
      </c>
    </row>
    <row r="202" spans="1:20" x14ac:dyDescent="0.3">
      <c r="A202">
        <v>1867953</v>
      </c>
      <c r="B202" t="s">
        <v>847</v>
      </c>
      <c r="C202" t="s">
        <v>848</v>
      </c>
      <c r="D202" t="s">
        <v>849</v>
      </c>
      <c r="E202" t="s">
        <v>850</v>
      </c>
      <c r="F202">
        <v>2016</v>
      </c>
      <c r="G202" t="s">
        <v>851</v>
      </c>
      <c r="H202" t="s">
        <v>852</v>
      </c>
      <c r="I202" t="s">
        <v>853</v>
      </c>
      <c r="J202" t="s">
        <v>854</v>
      </c>
      <c r="K202" t="s">
        <v>25</v>
      </c>
      <c r="L202" t="b">
        <v>1</v>
      </c>
      <c r="M202" t="s">
        <v>855</v>
      </c>
      <c r="N202" t="str">
        <f>"305.8/0071/094371"</f>
        <v>305.8/0071/094371</v>
      </c>
      <c r="O202" t="s">
        <v>856</v>
      </c>
      <c r="P202" t="b">
        <v>0</v>
      </c>
      <c r="Q202" t="b">
        <v>0</v>
      </c>
      <c r="R202" t="str">
        <f>"9788021084889"</f>
        <v>9788021084889</v>
      </c>
      <c r="S202" t="str">
        <f>"9788021087712"</f>
        <v>9788021087712</v>
      </c>
      <c r="T202">
        <v>1017002911</v>
      </c>
    </row>
    <row r="203" spans="1:20" x14ac:dyDescent="0.3">
      <c r="A203">
        <v>1867950</v>
      </c>
      <c r="B203" t="s">
        <v>857</v>
      </c>
      <c r="C203" t="s">
        <v>858</v>
      </c>
      <c r="D203" t="s">
        <v>849</v>
      </c>
      <c r="E203" t="s">
        <v>850</v>
      </c>
      <c r="F203">
        <v>2016</v>
      </c>
      <c r="G203" t="s">
        <v>859</v>
      </c>
      <c r="H203" t="s">
        <v>860</v>
      </c>
      <c r="I203" t="s">
        <v>861</v>
      </c>
      <c r="J203" t="s">
        <v>854</v>
      </c>
      <c r="K203" t="s">
        <v>25</v>
      </c>
      <c r="L203" t="b">
        <v>1</v>
      </c>
      <c r="M203" t="s">
        <v>862</v>
      </c>
      <c r="N203" t="str">
        <f>"398.2094371"</f>
        <v>398.2094371</v>
      </c>
      <c r="O203" t="s">
        <v>856</v>
      </c>
      <c r="P203" t="b">
        <v>0</v>
      </c>
      <c r="Q203" t="b">
        <v>0</v>
      </c>
      <c r="R203" t="str">
        <f>"9788021089099"</f>
        <v>9788021089099</v>
      </c>
      <c r="S203" t="str">
        <f>"9788021087729"</f>
        <v>9788021087729</v>
      </c>
      <c r="T203">
        <v>1017004881</v>
      </c>
    </row>
    <row r="204" spans="1:20" x14ac:dyDescent="0.3">
      <c r="A204">
        <v>1867949</v>
      </c>
      <c r="B204" t="s">
        <v>863</v>
      </c>
      <c r="D204" t="s">
        <v>849</v>
      </c>
      <c r="E204" t="s">
        <v>850</v>
      </c>
      <c r="F204">
        <v>2015</v>
      </c>
      <c r="G204" t="s">
        <v>97</v>
      </c>
      <c r="H204" t="s">
        <v>864</v>
      </c>
      <c r="I204" t="s">
        <v>865</v>
      </c>
      <c r="J204" t="s">
        <v>854</v>
      </c>
      <c r="K204" t="s">
        <v>25</v>
      </c>
      <c r="L204" t="b">
        <v>1</v>
      </c>
      <c r="M204" t="s">
        <v>866</v>
      </c>
      <c r="N204" t="str">
        <f>"303.4824304371"</f>
        <v>303.4824304371</v>
      </c>
      <c r="O204" t="s">
        <v>867</v>
      </c>
      <c r="P204" t="b">
        <v>0</v>
      </c>
      <c r="Q204" t="b">
        <v>0</v>
      </c>
      <c r="R204" t="str">
        <f>"9788021080812"</f>
        <v>9788021080812</v>
      </c>
      <c r="S204" t="str">
        <f>"9788021087699"</f>
        <v>9788021087699</v>
      </c>
      <c r="T204">
        <v>1017003072</v>
      </c>
    </row>
    <row r="205" spans="1:20" x14ac:dyDescent="0.3">
      <c r="A205">
        <v>1867948</v>
      </c>
      <c r="B205" t="s">
        <v>868</v>
      </c>
      <c r="C205" t="s">
        <v>869</v>
      </c>
      <c r="D205" t="s">
        <v>849</v>
      </c>
      <c r="E205" t="s">
        <v>850</v>
      </c>
      <c r="F205">
        <v>2011</v>
      </c>
      <c r="G205" t="s">
        <v>870</v>
      </c>
      <c r="H205" t="s">
        <v>871</v>
      </c>
      <c r="I205" t="s">
        <v>872</v>
      </c>
      <c r="J205" t="s">
        <v>854</v>
      </c>
      <c r="K205" t="s">
        <v>25</v>
      </c>
      <c r="L205" t="b">
        <v>1</v>
      </c>
      <c r="M205" t="s">
        <v>873</v>
      </c>
      <c r="N205" t="str">
        <f>"943.7/02"</f>
        <v>943.7/02</v>
      </c>
      <c r="O205" t="s">
        <v>874</v>
      </c>
      <c r="P205" t="b">
        <v>0</v>
      </c>
      <c r="Q205" t="b">
        <v>0</v>
      </c>
      <c r="R205" t="str">
        <f>"9788021054448"</f>
        <v>9788021054448</v>
      </c>
      <c r="S205" t="str">
        <f>"9788021089761"</f>
        <v>9788021089761</v>
      </c>
      <c r="T205">
        <v>1048403156</v>
      </c>
    </row>
    <row r="206" spans="1:20" x14ac:dyDescent="0.3">
      <c r="A206">
        <v>1867947</v>
      </c>
      <c r="B206" t="s">
        <v>875</v>
      </c>
      <c r="D206" t="s">
        <v>849</v>
      </c>
      <c r="E206" t="s">
        <v>850</v>
      </c>
      <c r="F206">
        <v>2011</v>
      </c>
      <c r="G206" t="s">
        <v>870</v>
      </c>
      <c r="H206" t="s">
        <v>876</v>
      </c>
      <c r="I206" t="s">
        <v>877</v>
      </c>
      <c r="J206" t="s">
        <v>854</v>
      </c>
      <c r="K206" t="s">
        <v>25</v>
      </c>
      <c r="L206" t="b">
        <v>1</v>
      </c>
      <c r="M206" t="s">
        <v>878</v>
      </c>
      <c r="N206" t="str">
        <f>"943.7/02"</f>
        <v>943.7/02</v>
      </c>
      <c r="O206" t="s">
        <v>879</v>
      </c>
      <c r="P206" t="b">
        <v>0</v>
      </c>
      <c r="Q206" t="b">
        <v>0</v>
      </c>
      <c r="R206" t="str">
        <f>"9788021054219"</f>
        <v>9788021054219</v>
      </c>
      <c r="S206" t="str">
        <f>"9788021089907"</f>
        <v>9788021089907</v>
      </c>
      <c r="T206">
        <v>1048402812</v>
      </c>
    </row>
    <row r="207" spans="1:20" x14ac:dyDescent="0.3">
      <c r="A207">
        <v>1867883</v>
      </c>
      <c r="B207" t="s">
        <v>880</v>
      </c>
      <c r="C207" t="s">
        <v>881</v>
      </c>
      <c r="D207" t="s">
        <v>882</v>
      </c>
      <c r="E207" t="s">
        <v>883</v>
      </c>
      <c r="F207">
        <v>1980</v>
      </c>
      <c r="G207" t="s">
        <v>884</v>
      </c>
      <c r="H207" t="s">
        <v>885</v>
      </c>
      <c r="I207" t="s">
        <v>886</v>
      </c>
      <c r="J207" t="s">
        <v>24</v>
      </c>
      <c r="K207" t="s">
        <v>25</v>
      </c>
      <c r="L207" t="b">
        <v>1</v>
      </c>
      <c r="M207" t="s">
        <v>887</v>
      </c>
      <c r="N207" t="str">
        <f>"C028.52"</f>
        <v>C028.52</v>
      </c>
      <c r="P207" t="b">
        <v>0</v>
      </c>
      <c r="Q207" t="b">
        <v>0</v>
      </c>
      <c r="R207" t="str">
        <f>"9781487586980"</f>
        <v>9781487586980</v>
      </c>
      <c r="S207" t="str">
        <f>"9781487586003"</f>
        <v>9781487586003</v>
      </c>
      <c r="T207">
        <v>1048402534</v>
      </c>
    </row>
    <row r="208" spans="1:20" x14ac:dyDescent="0.3">
      <c r="A208">
        <v>1867882</v>
      </c>
      <c r="B208" t="s">
        <v>888</v>
      </c>
      <c r="D208" t="s">
        <v>882</v>
      </c>
      <c r="E208" t="s">
        <v>883</v>
      </c>
      <c r="F208">
        <v>2017</v>
      </c>
      <c r="G208" t="s">
        <v>889</v>
      </c>
      <c r="H208" t="s">
        <v>890</v>
      </c>
      <c r="I208" t="s">
        <v>891</v>
      </c>
      <c r="J208" t="s">
        <v>24</v>
      </c>
      <c r="K208" t="s">
        <v>25</v>
      </c>
      <c r="L208" t="b">
        <v>1</v>
      </c>
      <c r="M208" t="s">
        <v>892</v>
      </c>
      <c r="N208" t="str">
        <f>"360.8"</f>
        <v>360.8</v>
      </c>
      <c r="P208" t="b">
        <v>0</v>
      </c>
      <c r="Q208" t="b">
        <v>0</v>
      </c>
      <c r="R208" t="str">
        <f>"9781487587000"</f>
        <v>9781487587000</v>
      </c>
      <c r="S208" t="str">
        <f>"9781487586027"</f>
        <v>9781487586027</v>
      </c>
      <c r="T208">
        <v>1048458805</v>
      </c>
    </row>
    <row r="209" spans="1:20" x14ac:dyDescent="0.3">
      <c r="A209">
        <v>1867881</v>
      </c>
      <c r="B209" t="s">
        <v>893</v>
      </c>
      <c r="D209" t="s">
        <v>882</v>
      </c>
      <c r="E209" t="s">
        <v>883</v>
      </c>
      <c r="F209">
        <v>1977</v>
      </c>
      <c r="G209" t="s">
        <v>256</v>
      </c>
      <c r="H209" t="s">
        <v>894</v>
      </c>
      <c r="I209" t="s">
        <v>895</v>
      </c>
      <c r="J209" t="s">
        <v>24</v>
      </c>
      <c r="K209" t="s">
        <v>25</v>
      </c>
      <c r="L209" t="b">
        <v>1</v>
      </c>
      <c r="M209" t="s">
        <v>896</v>
      </c>
      <c r="N209" t="str">
        <f>"971.4/212"</f>
        <v>971.4/212</v>
      </c>
      <c r="P209" t="b">
        <v>0</v>
      </c>
      <c r="Q209" t="b">
        <v>0</v>
      </c>
      <c r="R209" t="str">
        <f>"9780802022349"</f>
        <v>9780802022349</v>
      </c>
      <c r="S209" t="str">
        <f>"9781487586119"</f>
        <v>9781487586119</v>
      </c>
      <c r="T209">
        <v>644249878</v>
      </c>
    </row>
    <row r="210" spans="1:20" x14ac:dyDescent="0.3">
      <c r="A210">
        <v>1867880</v>
      </c>
      <c r="B210" t="s">
        <v>897</v>
      </c>
      <c r="C210" t="s">
        <v>898</v>
      </c>
      <c r="D210" t="s">
        <v>882</v>
      </c>
      <c r="E210" t="s">
        <v>883</v>
      </c>
      <c r="F210">
        <v>1990</v>
      </c>
      <c r="G210" t="s">
        <v>899</v>
      </c>
      <c r="H210" t="s">
        <v>900</v>
      </c>
      <c r="I210" t="s">
        <v>901</v>
      </c>
      <c r="J210" t="s">
        <v>24</v>
      </c>
      <c r="K210" t="s">
        <v>25</v>
      </c>
      <c r="L210" t="b">
        <v>1</v>
      </c>
      <c r="M210" t="s">
        <v>902</v>
      </c>
      <c r="N210" t="str">
        <f>"792/.09713"</f>
        <v>792/.09713</v>
      </c>
      <c r="O210" t="s">
        <v>903</v>
      </c>
      <c r="P210" t="b">
        <v>0</v>
      </c>
      <c r="Q210" t="b">
        <v>0</v>
      </c>
      <c r="R210" t="str">
        <f>"9780802067791"</f>
        <v>9780802067791</v>
      </c>
      <c r="S210" t="str">
        <f>"9781487586249"</f>
        <v>9781487586249</v>
      </c>
      <c r="T210">
        <v>610216503</v>
      </c>
    </row>
    <row r="211" spans="1:20" x14ac:dyDescent="0.3">
      <c r="A211">
        <v>1867876</v>
      </c>
      <c r="B211" t="s">
        <v>904</v>
      </c>
      <c r="C211" t="s">
        <v>905</v>
      </c>
      <c r="D211" t="s">
        <v>882</v>
      </c>
      <c r="E211" t="s">
        <v>883</v>
      </c>
      <c r="F211">
        <v>1994</v>
      </c>
      <c r="G211" t="s">
        <v>889</v>
      </c>
      <c r="H211" t="s">
        <v>906</v>
      </c>
      <c r="I211" t="s">
        <v>907</v>
      </c>
      <c r="J211" t="s">
        <v>24</v>
      </c>
      <c r="K211" t="s">
        <v>25</v>
      </c>
      <c r="L211" t="b">
        <v>1</v>
      </c>
      <c r="M211" t="s">
        <v>908</v>
      </c>
      <c r="N211" t="str">
        <f>"305.23/0971"</f>
        <v>305.23/0971</v>
      </c>
      <c r="P211" t="b">
        <v>0</v>
      </c>
      <c r="Q211" t="b">
        <v>0</v>
      </c>
      <c r="R211" t="str">
        <f>"9780802075864"</f>
        <v>9780802075864</v>
      </c>
      <c r="S211" t="str">
        <f>"9781487585853"</f>
        <v>9781487585853</v>
      </c>
      <c r="T211">
        <v>622277336</v>
      </c>
    </row>
    <row r="212" spans="1:20" x14ac:dyDescent="0.3">
      <c r="A212">
        <v>1867875</v>
      </c>
      <c r="B212" t="s">
        <v>909</v>
      </c>
      <c r="C212" t="s">
        <v>910</v>
      </c>
      <c r="D212" t="s">
        <v>882</v>
      </c>
      <c r="E212" t="s">
        <v>883</v>
      </c>
      <c r="F212">
        <v>1994</v>
      </c>
      <c r="G212" t="s">
        <v>911</v>
      </c>
      <c r="H212" t="s">
        <v>912</v>
      </c>
      <c r="I212" t="s">
        <v>913</v>
      </c>
      <c r="J212" t="s">
        <v>24</v>
      </c>
      <c r="K212" t="s">
        <v>25</v>
      </c>
      <c r="L212" t="b">
        <v>1</v>
      </c>
      <c r="M212" t="s">
        <v>914</v>
      </c>
      <c r="N212" t="str">
        <f>"361.6/09713"</f>
        <v>361.6/09713</v>
      </c>
      <c r="O212" t="s">
        <v>903</v>
      </c>
      <c r="P212" t="b">
        <v>0</v>
      </c>
      <c r="Q212" t="b">
        <v>0</v>
      </c>
      <c r="R212" t="str">
        <f>"9780802075826"</f>
        <v>9780802075826</v>
      </c>
      <c r="S212" t="str">
        <f>"9781487586232"</f>
        <v>9781487586232</v>
      </c>
      <c r="T212">
        <v>623139474</v>
      </c>
    </row>
    <row r="213" spans="1:20" x14ac:dyDescent="0.3">
      <c r="A213">
        <v>1867874</v>
      </c>
      <c r="B213" t="s">
        <v>915</v>
      </c>
      <c r="D213" t="s">
        <v>882</v>
      </c>
      <c r="E213" t="s">
        <v>883</v>
      </c>
      <c r="F213">
        <v>1973</v>
      </c>
      <c r="G213" t="s">
        <v>916</v>
      </c>
      <c r="H213" t="s">
        <v>917</v>
      </c>
      <c r="I213" t="s">
        <v>918</v>
      </c>
      <c r="J213" t="s">
        <v>24</v>
      </c>
      <c r="K213" t="s">
        <v>25</v>
      </c>
      <c r="L213" t="b">
        <v>1</v>
      </c>
      <c r="M213" t="s">
        <v>919</v>
      </c>
      <c r="N213" t="str">
        <f>"016.510/9"</f>
        <v>016.510/9</v>
      </c>
      <c r="P213" t="b">
        <v>0</v>
      </c>
      <c r="Q213" t="b">
        <v>0</v>
      </c>
      <c r="R213" t="str">
        <f>"9781487587185"</f>
        <v>9781487587185</v>
      </c>
      <c r="S213" t="str">
        <f>"9781487586225"</f>
        <v>9781487586225</v>
      </c>
      <c r="T213">
        <v>579112190</v>
      </c>
    </row>
    <row r="214" spans="1:20" x14ac:dyDescent="0.3">
      <c r="A214">
        <v>1867873</v>
      </c>
      <c r="B214" t="s">
        <v>920</v>
      </c>
      <c r="C214" t="s">
        <v>921</v>
      </c>
      <c r="D214" t="s">
        <v>882</v>
      </c>
      <c r="E214" t="s">
        <v>883</v>
      </c>
      <c r="F214">
        <v>1965</v>
      </c>
      <c r="G214" t="s">
        <v>922</v>
      </c>
      <c r="H214" t="s">
        <v>923</v>
      </c>
      <c r="I214" t="s">
        <v>924</v>
      </c>
      <c r="J214" t="s">
        <v>24</v>
      </c>
      <c r="K214" t="s">
        <v>25</v>
      </c>
      <c r="L214" t="b">
        <v>1</v>
      </c>
      <c r="M214" t="s">
        <v>925</v>
      </c>
      <c r="N214" t="str">
        <f>"631.4/971"</f>
        <v>631.4/971</v>
      </c>
      <c r="P214" t="b">
        <v>0</v>
      </c>
      <c r="Q214" t="b">
        <v>0</v>
      </c>
      <c r="R214" t="str">
        <f>"9781487587178"</f>
        <v>9781487587178</v>
      </c>
      <c r="S214" t="str">
        <f>"9781487586218"</f>
        <v>9781487586218</v>
      </c>
      <c r="T214">
        <v>1048403106</v>
      </c>
    </row>
    <row r="215" spans="1:20" x14ac:dyDescent="0.3">
      <c r="A215">
        <v>1867872</v>
      </c>
      <c r="B215" t="s">
        <v>926</v>
      </c>
      <c r="D215" t="s">
        <v>882</v>
      </c>
      <c r="E215" t="s">
        <v>883</v>
      </c>
      <c r="F215">
        <v>1969</v>
      </c>
      <c r="G215" t="s">
        <v>927</v>
      </c>
      <c r="H215" t="s">
        <v>928</v>
      </c>
      <c r="I215" t="s">
        <v>929</v>
      </c>
      <c r="J215" t="s">
        <v>24</v>
      </c>
      <c r="K215" t="s">
        <v>25</v>
      </c>
      <c r="L215" t="b">
        <v>1</v>
      </c>
      <c r="M215" t="s">
        <v>930</v>
      </c>
      <c r="N215" t="str">
        <f>"363.6/1/0954"</f>
        <v>363.6/1/0954</v>
      </c>
      <c r="O215" t="s">
        <v>931</v>
      </c>
      <c r="P215" t="b">
        <v>0</v>
      </c>
      <c r="Q215" t="b">
        <v>0</v>
      </c>
      <c r="R215" t="str">
        <f>"9781487587154"</f>
        <v>9781487587154</v>
      </c>
      <c r="S215" t="str">
        <f>"9781487586195"</f>
        <v>9781487586195</v>
      </c>
      <c r="T215">
        <v>590780277</v>
      </c>
    </row>
    <row r="216" spans="1:20" x14ac:dyDescent="0.3">
      <c r="A216">
        <v>1867871</v>
      </c>
      <c r="B216" t="s">
        <v>932</v>
      </c>
      <c r="C216" t="s">
        <v>933</v>
      </c>
      <c r="D216" t="s">
        <v>882</v>
      </c>
      <c r="E216" t="s">
        <v>883</v>
      </c>
      <c r="F216">
        <v>1957</v>
      </c>
      <c r="G216" t="s">
        <v>934</v>
      </c>
      <c r="H216" t="s">
        <v>935</v>
      </c>
      <c r="J216" t="s">
        <v>24</v>
      </c>
      <c r="K216" t="s">
        <v>25</v>
      </c>
      <c r="L216" t="b">
        <v>1</v>
      </c>
      <c r="M216" t="s">
        <v>936</v>
      </c>
      <c r="N216" t="str">
        <f>"306.4/2"</f>
        <v>306.4/2</v>
      </c>
      <c r="P216" t="b">
        <v>1</v>
      </c>
      <c r="Q216" t="b">
        <v>0</v>
      </c>
      <c r="R216" t="str">
        <f>"9781487587147"</f>
        <v>9781487587147</v>
      </c>
      <c r="S216" t="str">
        <f>"9781487586188"</f>
        <v>9781487586188</v>
      </c>
      <c r="T216">
        <v>1048403105</v>
      </c>
    </row>
    <row r="217" spans="1:20" x14ac:dyDescent="0.3">
      <c r="A217">
        <v>1867870</v>
      </c>
      <c r="B217" t="s">
        <v>937</v>
      </c>
      <c r="C217" t="s">
        <v>938</v>
      </c>
      <c r="D217" t="s">
        <v>882</v>
      </c>
      <c r="E217" t="s">
        <v>883</v>
      </c>
      <c r="F217">
        <v>1958</v>
      </c>
      <c r="G217" t="s">
        <v>939</v>
      </c>
      <c r="H217" t="s">
        <v>940</v>
      </c>
      <c r="I217" t="s">
        <v>941</v>
      </c>
      <c r="J217" t="s">
        <v>24</v>
      </c>
      <c r="K217" t="s">
        <v>25</v>
      </c>
      <c r="L217" t="b">
        <v>1</v>
      </c>
      <c r="M217" t="s">
        <v>936</v>
      </c>
      <c r="N217" t="str">
        <f>"814/.54"</f>
        <v>814/.54</v>
      </c>
      <c r="P217" t="b">
        <v>1</v>
      </c>
      <c r="Q217" t="b">
        <v>0</v>
      </c>
      <c r="R217" t="str">
        <f>"9781487587130"</f>
        <v>9781487587130</v>
      </c>
      <c r="S217" t="str">
        <f>"9781487586171"</f>
        <v>9781487586171</v>
      </c>
      <c r="T217">
        <v>1048403104</v>
      </c>
    </row>
    <row r="218" spans="1:20" x14ac:dyDescent="0.3">
      <c r="A218">
        <v>1867867</v>
      </c>
      <c r="B218" t="s">
        <v>942</v>
      </c>
      <c r="C218" t="s">
        <v>943</v>
      </c>
      <c r="D218" t="s">
        <v>882</v>
      </c>
      <c r="E218" t="s">
        <v>883</v>
      </c>
      <c r="F218">
        <v>1981</v>
      </c>
      <c r="G218" t="s">
        <v>944</v>
      </c>
      <c r="H218" t="s">
        <v>945</v>
      </c>
      <c r="I218" t="s">
        <v>946</v>
      </c>
      <c r="J218" t="s">
        <v>24</v>
      </c>
      <c r="K218" t="s">
        <v>25</v>
      </c>
      <c r="L218" t="b">
        <v>1</v>
      </c>
      <c r="M218" t="s">
        <v>947</v>
      </c>
      <c r="N218" t="str">
        <f>"301.5/92/0954792"</f>
        <v>301.5/92/0954792</v>
      </c>
      <c r="P218" t="b">
        <v>0</v>
      </c>
      <c r="Q218" t="b">
        <v>0</v>
      </c>
      <c r="R218" t="str">
        <f>"9781487587116"</f>
        <v>9781487587116</v>
      </c>
      <c r="S218" t="str">
        <f>"9781487586157"</f>
        <v>9781487586157</v>
      </c>
      <c r="T218">
        <v>559100650</v>
      </c>
    </row>
    <row r="219" spans="1:20" x14ac:dyDescent="0.3">
      <c r="A219">
        <v>1867866</v>
      </c>
      <c r="B219" t="s">
        <v>948</v>
      </c>
      <c r="C219" t="s">
        <v>949</v>
      </c>
      <c r="D219" t="s">
        <v>882</v>
      </c>
      <c r="E219" t="s">
        <v>883</v>
      </c>
      <c r="F219">
        <v>1982</v>
      </c>
      <c r="G219" t="s">
        <v>950</v>
      </c>
      <c r="H219" t="s">
        <v>951</v>
      </c>
      <c r="I219" t="s">
        <v>952</v>
      </c>
      <c r="J219" t="s">
        <v>24</v>
      </c>
      <c r="K219" t="s">
        <v>25</v>
      </c>
      <c r="L219" t="b">
        <v>1</v>
      </c>
      <c r="M219" t="s">
        <v>953</v>
      </c>
      <c r="N219" t="str">
        <f>"429/.5"</f>
        <v>429/.5</v>
      </c>
      <c r="P219" t="b">
        <v>0</v>
      </c>
      <c r="Q219" t="b">
        <v>0</v>
      </c>
      <c r="R219" t="str">
        <f>"9780802065131"</f>
        <v>9780802065131</v>
      </c>
      <c r="S219" t="str">
        <f>"9781487586102"</f>
        <v>9781487586102</v>
      </c>
      <c r="T219">
        <v>1048459076</v>
      </c>
    </row>
    <row r="220" spans="1:20" x14ac:dyDescent="0.3">
      <c r="A220">
        <v>1867864</v>
      </c>
      <c r="B220" t="s">
        <v>954</v>
      </c>
      <c r="C220" t="s">
        <v>955</v>
      </c>
      <c r="D220" t="s">
        <v>882</v>
      </c>
      <c r="E220" t="s">
        <v>883</v>
      </c>
      <c r="F220">
        <v>1972</v>
      </c>
      <c r="G220" t="s">
        <v>956</v>
      </c>
      <c r="H220" t="s">
        <v>957</v>
      </c>
      <c r="I220" t="s">
        <v>958</v>
      </c>
      <c r="J220" t="s">
        <v>24</v>
      </c>
      <c r="K220" t="s">
        <v>25</v>
      </c>
      <c r="L220" t="b">
        <v>1</v>
      </c>
      <c r="M220" t="s">
        <v>959</v>
      </c>
      <c r="N220" t="str">
        <f>"330.1"</f>
        <v>330.1</v>
      </c>
      <c r="O220" t="s">
        <v>960</v>
      </c>
      <c r="P220" t="b">
        <v>0</v>
      </c>
      <c r="Q220" t="b">
        <v>0</v>
      </c>
      <c r="R220" t="str">
        <f>"9780802061522"</f>
        <v>9780802061522</v>
      </c>
      <c r="S220" t="str">
        <f>"9781487586096"</f>
        <v>9781487586096</v>
      </c>
      <c r="T220">
        <v>584139550</v>
      </c>
    </row>
    <row r="221" spans="1:20" x14ac:dyDescent="0.3">
      <c r="A221">
        <v>1867856</v>
      </c>
      <c r="B221" t="s">
        <v>961</v>
      </c>
      <c r="C221" t="s">
        <v>962</v>
      </c>
      <c r="D221" t="s">
        <v>882</v>
      </c>
      <c r="E221" t="s">
        <v>883</v>
      </c>
      <c r="F221">
        <v>1956</v>
      </c>
      <c r="G221" t="s">
        <v>963</v>
      </c>
      <c r="H221" t="s">
        <v>964</v>
      </c>
      <c r="I221" t="s">
        <v>965</v>
      </c>
      <c r="J221" t="s">
        <v>24</v>
      </c>
      <c r="K221" t="s">
        <v>25</v>
      </c>
      <c r="L221" t="b">
        <v>1</v>
      </c>
      <c r="M221" t="s">
        <v>966</v>
      </c>
      <c r="N221" t="str">
        <f>"780/.92/4"</f>
        <v>780/.92/4</v>
      </c>
      <c r="P221" t="b">
        <v>0</v>
      </c>
      <c r="Q221" t="b">
        <v>0</v>
      </c>
      <c r="R221" t="str">
        <f>"9781487586959"</f>
        <v>9781487586959</v>
      </c>
      <c r="S221" t="str">
        <f>"9781487585976"</f>
        <v>9781487585976</v>
      </c>
      <c r="T221">
        <v>1048403114</v>
      </c>
    </row>
    <row r="222" spans="1:20" x14ac:dyDescent="0.3">
      <c r="A222">
        <v>1867854</v>
      </c>
      <c r="B222" t="s">
        <v>967</v>
      </c>
      <c r="D222" t="s">
        <v>882</v>
      </c>
      <c r="E222" t="s">
        <v>883</v>
      </c>
      <c r="F222">
        <v>1987</v>
      </c>
      <c r="G222" t="s">
        <v>968</v>
      </c>
      <c r="H222" t="s">
        <v>969</v>
      </c>
      <c r="I222" t="s">
        <v>970</v>
      </c>
      <c r="J222" t="s">
        <v>24</v>
      </c>
      <c r="K222" t="s">
        <v>25</v>
      </c>
      <c r="L222" t="b">
        <v>1</v>
      </c>
      <c r="M222" t="s">
        <v>971</v>
      </c>
      <c r="N222" t="str">
        <f>"320.971"</f>
        <v>320.971</v>
      </c>
      <c r="P222" t="b">
        <v>0</v>
      </c>
      <c r="Q222" t="b">
        <v>0</v>
      </c>
      <c r="R222" t="str">
        <f>"9780802066114"</f>
        <v>9780802066114</v>
      </c>
      <c r="S222" t="str">
        <f>"9781487585952"</f>
        <v>9781487585952</v>
      </c>
      <c r="T222">
        <v>570257086</v>
      </c>
    </row>
    <row r="223" spans="1:20" x14ac:dyDescent="0.3">
      <c r="A223">
        <v>1867848</v>
      </c>
      <c r="B223" t="s">
        <v>972</v>
      </c>
      <c r="C223" t="s">
        <v>973</v>
      </c>
      <c r="D223" t="s">
        <v>882</v>
      </c>
      <c r="E223" t="s">
        <v>883</v>
      </c>
      <c r="F223">
        <v>1993</v>
      </c>
      <c r="G223" t="s">
        <v>974</v>
      </c>
      <c r="H223" t="s">
        <v>975</v>
      </c>
      <c r="I223" t="s">
        <v>976</v>
      </c>
      <c r="J223" t="s">
        <v>24</v>
      </c>
      <c r="K223" t="s">
        <v>25</v>
      </c>
      <c r="L223" t="b">
        <v>1</v>
      </c>
      <c r="M223" t="s">
        <v>977</v>
      </c>
      <c r="N223" t="str">
        <f>"220.6/01"</f>
        <v>220.6/01</v>
      </c>
      <c r="O223" t="s">
        <v>978</v>
      </c>
      <c r="P223" t="b">
        <v>0</v>
      </c>
      <c r="Q223" t="b">
        <v>0</v>
      </c>
      <c r="R223" t="str">
        <f>"9781487586867"</f>
        <v>9781487586867</v>
      </c>
      <c r="S223" t="str">
        <f>"9781487585884"</f>
        <v>9781487585884</v>
      </c>
      <c r="T223">
        <v>1048403076</v>
      </c>
    </row>
    <row r="224" spans="1:20" x14ac:dyDescent="0.3">
      <c r="A224">
        <v>1867846</v>
      </c>
      <c r="B224" t="s">
        <v>979</v>
      </c>
      <c r="C224" t="s">
        <v>980</v>
      </c>
      <c r="D224" t="s">
        <v>882</v>
      </c>
      <c r="E224" t="s">
        <v>883</v>
      </c>
      <c r="F224">
        <v>1981</v>
      </c>
      <c r="G224" t="s">
        <v>981</v>
      </c>
      <c r="H224" t="s">
        <v>982</v>
      </c>
      <c r="I224" t="s">
        <v>983</v>
      </c>
      <c r="J224" t="s">
        <v>24</v>
      </c>
      <c r="K224" t="s">
        <v>25</v>
      </c>
      <c r="L224" t="b">
        <v>1</v>
      </c>
      <c r="M224" t="s">
        <v>984</v>
      </c>
      <c r="N224" t="str">
        <f>"810/.9/3520397"</f>
        <v>810/.9/3520397</v>
      </c>
      <c r="P224" t="b">
        <v>0</v>
      </c>
      <c r="Q224" t="b">
        <v>0</v>
      </c>
      <c r="R224" t="str">
        <f>"9781487586836"</f>
        <v>9781487586836</v>
      </c>
      <c r="S224" t="str">
        <f>"9781487585846"</f>
        <v>9781487585846</v>
      </c>
      <c r="T224">
        <v>557580057</v>
      </c>
    </row>
    <row r="225" spans="1:20" x14ac:dyDescent="0.3">
      <c r="A225">
        <v>1867845</v>
      </c>
      <c r="B225" t="s">
        <v>985</v>
      </c>
      <c r="C225" t="s">
        <v>986</v>
      </c>
      <c r="D225" t="s">
        <v>882</v>
      </c>
      <c r="E225" t="s">
        <v>883</v>
      </c>
      <c r="F225">
        <v>1982</v>
      </c>
      <c r="G225" t="s">
        <v>987</v>
      </c>
      <c r="H225" t="s">
        <v>988</v>
      </c>
      <c r="I225" t="s">
        <v>989</v>
      </c>
      <c r="J225" t="s">
        <v>24</v>
      </c>
      <c r="K225" t="s">
        <v>25</v>
      </c>
      <c r="L225" t="b">
        <v>1</v>
      </c>
      <c r="M225" t="s">
        <v>990</v>
      </c>
      <c r="N225" t="str">
        <f>"891.6/3104/0897"</f>
        <v>891.6/3104/0897</v>
      </c>
      <c r="P225" t="b">
        <v>0</v>
      </c>
      <c r="Q225" t="b">
        <v>0</v>
      </c>
      <c r="R225" t="str">
        <f>"9780802064899"</f>
        <v>9780802064899</v>
      </c>
      <c r="S225" t="str">
        <f>"9781487585891"</f>
        <v>9781487585891</v>
      </c>
      <c r="T225">
        <v>564889568</v>
      </c>
    </row>
    <row r="226" spans="1:20" x14ac:dyDescent="0.3">
      <c r="A226">
        <v>1867844</v>
      </c>
      <c r="B226" t="s">
        <v>991</v>
      </c>
      <c r="C226" t="s">
        <v>992</v>
      </c>
      <c r="D226" t="s">
        <v>882</v>
      </c>
      <c r="E226" t="s">
        <v>883</v>
      </c>
      <c r="F226">
        <v>1978</v>
      </c>
      <c r="G226" t="s">
        <v>993</v>
      </c>
      <c r="H226" t="s">
        <v>994</v>
      </c>
      <c r="I226" t="s">
        <v>995</v>
      </c>
      <c r="J226" t="s">
        <v>24</v>
      </c>
      <c r="K226" t="s">
        <v>25</v>
      </c>
      <c r="L226" t="b">
        <v>1</v>
      </c>
      <c r="M226" t="s">
        <v>996</v>
      </c>
      <c r="N226" t="str">
        <f>"338.3/72/758"</f>
        <v>338.3/72/758</v>
      </c>
      <c r="O226" t="s">
        <v>997</v>
      </c>
      <c r="P226" t="b">
        <v>0</v>
      </c>
      <c r="Q226" t="b">
        <v>0</v>
      </c>
      <c r="R226" t="str">
        <f>"9780802063441"</f>
        <v>9780802063441</v>
      </c>
      <c r="S226" t="str">
        <f>"9781487586256"</f>
        <v>9781487586256</v>
      </c>
      <c r="T226">
        <v>988065650</v>
      </c>
    </row>
    <row r="227" spans="1:20" x14ac:dyDescent="0.3">
      <c r="A227">
        <v>1867619</v>
      </c>
      <c r="B227" t="s">
        <v>998</v>
      </c>
      <c r="C227" t="s">
        <v>999</v>
      </c>
      <c r="D227" t="s">
        <v>38</v>
      </c>
      <c r="E227" t="s">
        <v>39</v>
      </c>
      <c r="F227">
        <v>1996</v>
      </c>
      <c r="G227" t="s">
        <v>52</v>
      </c>
      <c r="H227" t="s">
        <v>1000</v>
      </c>
      <c r="I227" t="s">
        <v>116</v>
      </c>
      <c r="J227" t="s">
        <v>24</v>
      </c>
      <c r="K227" t="s">
        <v>25</v>
      </c>
      <c r="L227" t="b">
        <v>1</v>
      </c>
      <c r="M227" t="s">
        <v>1001</v>
      </c>
      <c r="N227" t="str">
        <f>"781.65/092"</f>
        <v>781.65/092</v>
      </c>
      <c r="P227" t="b">
        <v>0</v>
      </c>
      <c r="R227" t="str">
        <f>"9781557284051"</f>
        <v>9781557284051</v>
      </c>
      <c r="S227" t="str">
        <f>"9781610752107"</f>
        <v>9781610752107</v>
      </c>
      <c r="T227">
        <v>681985866</v>
      </c>
    </row>
    <row r="228" spans="1:20" x14ac:dyDescent="0.3">
      <c r="A228">
        <v>1866534</v>
      </c>
      <c r="B228" t="s">
        <v>1002</v>
      </c>
      <c r="C228" t="s">
        <v>1003</v>
      </c>
      <c r="D228" t="s">
        <v>1004</v>
      </c>
      <c r="E228" t="s">
        <v>1004</v>
      </c>
      <c r="F228">
        <v>2016</v>
      </c>
      <c r="G228" t="s">
        <v>1005</v>
      </c>
      <c r="H228" t="s">
        <v>1006</v>
      </c>
      <c r="I228" t="s">
        <v>1007</v>
      </c>
      <c r="J228" t="s">
        <v>24</v>
      </c>
      <c r="K228" t="s">
        <v>25</v>
      </c>
      <c r="L228" t="b">
        <v>1</v>
      </c>
      <c r="M228" t="s">
        <v>1008</v>
      </c>
      <c r="N228" t="str">
        <f>"170"</f>
        <v>170</v>
      </c>
      <c r="P228" t="b">
        <v>0</v>
      </c>
      <c r="Q228" t="b">
        <v>0</v>
      </c>
      <c r="R228" t="str">
        <f>"9788024634296"</f>
        <v>9788024634296</v>
      </c>
      <c r="S228" t="str">
        <f>"9788024634302"</f>
        <v>9788024634302</v>
      </c>
      <c r="T228">
        <v>1048255341</v>
      </c>
    </row>
    <row r="229" spans="1:20" x14ac:dyDescent="0.3">
      <c r="A229">
        <v>1866488</v>
      </c>
      <c r="B229" t="s">
        <v>1009</v>
      </c>
      <c r="C229" t="s">
        <v>1010</v>
      </c>
      <c r="D229" t="s">
        <v>1011</v>
      </c>
      <c r="E229" t="s">
        <v>1012</v>
      </c>
      <c r="F229">
        <v>2011</v>
      </c>
      <c r="G229" t="s">
        <v>1013</v>
      </c>
      <c r="J229" t="s">
        <v>24</v>
      </c>
      <c r="K229" t="s">
        <v>25</v>
      </c>
      <c r="L229" t="b">
        <v>1</v>
      </c>
      <c r="M229" t="s">
        <v>1014</v>
      </c>
      <c r="P229" t="b">
        <v>0</v>
      </c>
      <c r="R229" t="str">
        <f>"9780801446580"</f>
        <v>9780801446580</v>
      </c>
      <c r="S229" t="str">
        <f>"9780801461958"</f>
        <v>9780801461958</v>
      </c>
    </row>
    <row r="230" spans="1:20" x14ac:dyDescent="0.3">
      <c r="A230">
        <v>1866487</v>
      </c>
      <c r="B230" t="s">
        <v>1015</v>
      </c>
      <c r="C230" t="s">
        <v>1016</v>
      </c>
      <c r="D230" t="s">
        <v>1011</v>
      </c>
      <c r="E230" t="s">
        <v>1012</v>
      </c>
      <c r="F230">
        <v>2011</v>
      </c>
      <c r="G230" t="s">
        <v>1013</v>
      </c>
      <c r="J230" t="s">
        <v>24</v>
      </c>
      <c r="K230" t="s">
        <v>25</v>
      </c>
      <c r="L230" t="b">
        <v>1</v>
      </c>
      <c r="M230" t="s">
        <v>1017</v>
      </c>
      <c r="P230" t="b">
        <v>0</v>
      </c>
      <c r="R230" t="str">
        <f>"9780801446481"</f>
        <v>9780801446481</v>
      </c>
      <c r="S230" t="str">
        <f>"9780801461576"</f>
        <v>9780801461576</v>
      </c>
    </row>
    <row r="231" spans="1:20" x14ac:dyDescent="0.3">
      <c r="A231">
        <v>1866486</v>
      </c>
      <c r="B231" t="s">
        <v>1018</v>
      </c>
      <c r="C231" t="s">
        <v>1019</v>
      </c>
      <c r="D231" t="s">
        <v>1011</v>
      </c>
      <c r="E231" t="s">
        <v>1011</v>
      </c>
      <c r="F231">
        <v>2010</v>
      </c>
      <c r="G231" t="s">
        <v>1020</v>
      </c>
      <c r="J231" t="s">
        <v>24</v>
      </c>
      <c r="K231" t="s">
        <v>25</v>
      </c>
      <c r="L231" t="b">
        <v>1</v>
      </c>
      <c r="M231" t="s">
        <v>1021</v>
      </c>
      <c r="P231" t="b">
        <v>0</v>
      </c>
      <c r="R231" t="str">
        <f>"9780801444890"</f>
        <v>9780801444890</v>
      </c>
      <c r="S231" t="str">
        <f>"9780801460517"</f>
        <v>9780801460517</v>
      </c>
    </row>
    <row r="232" spans="1:20" x14ac:dyDescent="0.3">
      <c r="A232">
        <v>1866485</v>
      </c>
      <c r="B232" t="s">
        <v>1022</v>
      </c>
      <c r="D232" t="s">
        <v>1011</v>
      </c>
      <c r="E232" t="s">
        <v>1011</v>
      </c>
      <c r="F232">
        <v>2014</v>
      </c>
      <c r="G232" t="s">
        <v>1023</v>
      </c>
      <c r="J232" t="s">
        <v>24</v>
      </c>
      <c r="K232" t="s">
        <v>25</v>
      </c>
      <c r="L232" t="b">
        <v>1</v>
      </c>
      <c r="M232" t="s">
        <v>1024</v>
      </c>
      <c r="P232" t="b">
        <v>0</v>
      </c>
      <c r="R232" t="str">
        <f>"9780801436093"</f>
        <v>9780801436093</v>
      </c>
      <c r="S232" t="str">
        <f>"9781501722271"</f>
        <v>9781501722271</v>
      </c>
    </row>
    <row r="233" spans="1:20" x14ac:dyDescent="0.3">
      <c r="A233">
        <v>1866387</v>
      </c>
      <c r="B233" t="s">
        <v>1025</v>
      </c>
      <c r="D233" t="s">
        <v>1026</v>
      </c>
      <c r="E233" t="s">
        <v>1026</v>
      </c>
      <c r="F233">
        <v>2014</v>
      </c>
      <c r="J233" t="s">
        <v>24</v>
      </c>
      <c r="K233" t="s">
        <v>25</v>
      </c>
      <c r="L233" t="b">
        <v>1</v>
      </c>
      <c r="M233" t="s">
        <v>1027</v>
      </c>
      <c r="P233" t="b">
        <v>0</v>
      </c>
      <c r="Q233" t="b">
        <v>0</v>
      </c>
      <c r="R233" t="str">
        <f>"9789888208241"</f>
        <v>9789888208241</v>
      </c>
      <c r="S233" t="str">
        <f>"9789888455676"</f>
        <v>9789888455676</v>
      </c>
    </row>
    <row r="234" spans="1:20" x14ac:dyDescent="0.3">
      <c r="A234">
        <v>1866386</v>
      </c>
      <c r="B234" t="s">
        <v>1028</v>
      </c>
      <c r="D234" t="s">
        <v>1026</v>
      </c>
      <c r="E234" t="s">
        <v>1026</v>
      </c>
      <c r="F234">
        <v>2014</v>
      </c>
      <c r="J234" t="s">
        <v>24</v>
      </c>
      <c r="K234" t="s">
        <v>25</v>
      </c>
      <c r="L234" t="b">
        <v>1</v>
      </c>
      <c r="M234" t="s">
        <v>1029</v>
      </c>
      <c r="P234" t="b">
        <v>0</v>
      </c>
      <c r="Q234" t="b">
        <v>0</v>
      </c>
      <c r="R234" t="str">
        <f>"9789888208074"</f>
        <v>9789888208074</v>
      </c>
      <c r="S234" t="str">
        <f>"9789888455669"</f>
        <v>9789888455669</v>
      </c>
    </row>
    <row r="235" spans="1:20" x14ac:dyDescent="0.3">
      <c r="A235">
        <v>1865825</v>
      </c>
      <c r="B235" t="s">
        <v>1030</v>
      </c>
      <c r="C235" t="s">
        <v>1031</v>
      </c>
      <c r="D235" t="s">
        <v>1004</v>
      </c>
      <c r="E235" t="s">
        <v>1004</v>
      </c>
      <c r="F235">
        <v>2009</v>
      </c>
      <c r="G235" t="s">
        <v>1032</v>
      </c>
      <c r="H235" t="s">
        <v>1033</v>
      </c>
      <c r="I235" t="s">
        <v>1034</v>
      </c>
      <c r="J235" t="s">
        <v>854</v>
      </c>
      <c r="K235" t="s">
        <v>25</v>
      </c>
      <c r="L235" t="b">
        <v>1</v>
      </c>
      <c r="M235" t="s">
        <v>1035</v>
      </c>
      <c r="N235" t="str">
        <f>"327.437044"</f>
        <v>327.437044</v>
      </c>
      <c r="P235" t="b">
        <v>0</v>
      </c>
      <c r="Q235" t="b">
        <v>0</v>
      </c>
      <c r="R235" t="str">
        <f>"9788024616636"</f>
        <v>9788024616636</v>
      </c>
      <c r="S235" t="str">
        <f>"9788024627748"</f>
        <v>9788024627748</v>
      </c>
      <c r="T235">
        <v>1048003815</v>
      </c>
    </row>
    <row r="236" spans="1:20" x14ac:dyDescent="0.3">
      <c r="A236">
        <v>1864100</v>
      </c>
      <c r="B236" t="s">
        <v>1036</v>
      </c>
      <c r="C236" t="s">
        <v>1037</v>
      </c>
      <c r="D236" t="s">
        <v>707</v>
      </c>
      <c r="E236" t="s">
        <v>708</v>
      </c>
      <c r="F236">
        <v>2006</v>
      </c>
      <c r="G236" t="s">
        <v>713</v>
      </c>
      <c r="J236" t="s">
        <v>24</v>
      </c>
      <c r="K236" t="s">
        <v>269</v>
      </c>
      <c r="L236" t="b">
        <v>1</v>
      </c>
      <c r="M236" t="s">
        <v>1038</v>
      </c>
      <c r="P236" t="b">
        <v>0</v>
      </c>
      <c r="R236" t="str">
        <f>"9780761934806"</f>
        <v>9780761934806</v>
      </c>
      <c r="S236" t="str">
        <f>"9789352803460"</f>
        <v>9789352803460</v>
      </c>
    </row>
    <row r="237" spans="1:20" x14ac:dyDescent="0.3">
      <c r="A237">
        <v>1863925</v>
      </c>
      <c r="B237" t="s">
        <v>1039</v>
      </c>
      <c r="C237" t="s">
        <v>1040</v>
      </c>
      <c r="D237" t="s">
        <v>1011</v>
      </c>
      <c r="E237" t="s">
        <v>1011</v>
      </c>
      <c r="F237">
        <v>2011</v>
      </c>
      <c r="G237" t="s">
        <v>1041</v>
      </c>
      <c r="J237" t="s">
        <v>24</v>
      </c>
      <c r="K237" t="s">
        <v>25</v>
      </c>
      <c r="L237" t="b">
        <v>1</v>
      </c>
      <c r="M237" t="s">
        <v>1042</v>
      </c>
      <c r="O237" t="s">
        <v>1043</v>
      </c>
      <c r="P237" t="b">
        <v>0</v>
      </c>
      <c r="R237" t="str">
        <f>"9780801448966"</f>
        <v>9780801448966</v>
      </c>
      <c r="S237" t="str">
        <f>"9780801462214"</f>
        <v>9780801462214</v>
      </c>
    </row>
    <row r="238" spans="1:20" x14ac:dyDescent="0.3">
      <c r="A238">
        <v>1863924</v>
      </c>
      <c r="B238" t="s">
        <v>1044</v>
      </c>
      <c r="C238" t="s">
        <v>1045</v>
      </c>
      <c r="D238" t="s">
        <v>1011</v>
      </c>
      <c r="E238" t="s">
        <v>1011</v>
      </c>
      <c r="F238">
        <v>2011</v>
      </c>
      <c r="G238" t="s">
        <v>1046</v>
      </c>
      <c r="J238" t="s">
        <v>24</v>
      </c>
      <c r="K238" t="s">
        <v>25</v>
      </c>
      <c r="L238" t="b">
        <v>1</v>
      </c>
      <c r="M238" t="s">
        <v>1047</v>
      </c>
      <c r="P238" t="b">
        <v>0</v>
      </c>
      <c r="R238" t="str">
        <f>"9780801442421"</f>
        <v>9780801442421</v>
      </c>
      <c r="S238" t="str">
        <f>"9780801463563"</f>
        <v>9780801463563</v>
      </c>
    </row>
    <row r="239" spans="1:20" x14ac:dyDescent="0.3">
      <c r="A239">
        <v>1863923</v>
      </c>
      <c r="B239" t="s">
        <v>1048</v>
      </c>
      <c r="C239" t="s">
        <v>1049</v>
      </c>
      <c r="D239" t="s">
        <v>1011</v>
      </c>
      <c r="E239" t="s">
        <v>1011</v>
      </c>
      <c r="F239">
        <v>2011</v>
      </c>
      <c r="G239" t="s">
        <v>1050</v>
      </c>
      <c r="J239" t="s">
        <v>24</v>
      </c>
      <c r="K239" t="s">
        <v>25</v>
      </c>
      <c r="L239" t="b">
        <v>1</v>
      </c>
      <c r="M239" t="s">
        <v>1051</v>
      </c>
      <c r="P239" t="b">
        <v>0</v>
      </c>
      <c r="R239" t="str">
        <f>"9780801445743"</f>
        <v>9780801445743</v>
      </c>
      <c r="S239" t="str">
        <f>"9780801463518"</f>
        <v>9780801463518</v>
      </c>
    </row>
    <row r="240" spans="1:20" x14ac:dyDescent="0.3">
      <c r="A240">
        <v>1863922</v>
      </c>
      <c r="B240" t="s">
        <v>1052</v>
      </c>
      <c r="C240" t="s">
        <v>1053</v>
      </c>
      <c r="D240" t="s">
        <v>1011</v>
      </c>
      <c r="E240" t="s">
        <v>1011</v>
      </c>
      <c r="F240">
        <v>2011</v>
      </c>
      <c r="G240" t="s">
        <v>1054</v>
      </c>
      <c r="J240" t="s">
        <v>24</v>
      </c>
      <c r="K240" t="s">
        <v>25</v>
      </c>
      <c r="L240" t="b">
        <v>1</v>
      </c>
      <c r="M240" t="s">
        <v>1055</v>
      </c>
      <c r="P240" t="b">
        <v>0</v>
      </c>
      <c r="R240" t="str">
        <f>"9780801444289"</f>
        <v>9780801444289</v>
      </c>
      <c r="S240" t="str">
        <f>"9780801462269"</f>
        <v>9780801462269</v>
      </c>
    </row>
    <row r="241" spans="1:20" x14ac:dyDescent="0.3">
      <c r="A241">
        <v>1863921</v>
      </c>
      <c r="B241" t="s">
        <v>1056</v>
      </c>
      <c r="C241" t="s">
        <v>1057</v>
      </c>
      <c r="D241" t="s">
        <v>1011</v>
      </c>
      <c r="E241" t="s">
        <v>1011</v>
      </c>
      <c r="F241">
        <v>2011</v>
      </c>
      <c r="G241" t="s">
        <v>1050</v>
      </c>
      <c r="J241" t="s">
        <v>24</v>
      </c>
      <c r="K241" t="s">
        <v>25</v>
      </c>
      <c r="L241" t="b">
        <v>1</v>
      </c>
      <c r="M241" t="s">
        <v>1058</v>
      </c>
      <c r="O241" t="s">
        <v>1059</v>
      </c>
      <c r="P241" t="b">
        <v>0</v>
      </c>
      <c r="R241" t="str">
        <f>"9780801445927"</f>
        <v>9780801445927</v>
      </c>
      <c r="S241" t="str">
        <f>"9780801461903"</f>
        <v>9780801461903</v>
      </c>
    </row>
    <row r="242" spans="1:20" x14ac:dyDescent="0.3">
      <c r="A242">
        <v>1863919</v>
      </c>
      <c r="B242" t="s">
        <v>1060</v>
      </c>
      <c r="C242" t="s">
        <v>1061</v>
      </c>
      <c r="D242" t="s">
        <v>1011</v>
      </c>
      <c r="E242" t="s">
        <v>1012</v>
      </c>
      <c r="F242">
        <v>2011</v>
      </c>
      <c r="G242" t="s">
        <v>1013</v>
      </c>
      <c r="J242" t="s">
        <v>24</v>
      </c>
      <c r="K242" t="s">
        <v>25</v>
      </c>
      <c r="L242" t="b">
        <v>1</v>
      </c>
      <c r="M242" t="s">
        <v>1062</v>
      </c>
      <c r="P242" t="b">
        <v>0</v>
      </c>
      <c r="R242" t="str">
        <f>"9780801445910"</f>
        <v>9780801445910</v>
      </c>
      <c r="S242" t="str">
        <f>"9780801461743"</f>
        <v>9780801461743</v>
      </c>
    </row>
    <row r="243" spans="1:20" x14ac:dyDescent="0.3">
      <c r="A243">
        <v>1863737</v>
      </c>
      <c r="B243" t="s">
        <v>1063</v>
      </c>
      <c r="C243" t="s">
        <v>1064</v>
      </c>
      <c r="D243" t="s">
        <v>64</v>
      </c>
      <c r="E243" t="s">
        <v>65</v>
      </c>
      <c r="F243">
        <v>2001</v>
      </c>
      <c r="G243" t="s">
        <v>73</v>
      </c>
      <c r="H243" t="s">
        <v>1065</v>
      </c>
      <c r="J243" t="s">
        <v>24</v>
      </c>
      <c r="K243" t="s">
        <v>25</v>
      </c>
      <c r="L243" t="b">
        <v>1</v>
      </c>
      <c r="M243" t="s">
        <v>1066</v>
      </c>
      <c r="N243" t="str">
        <f>"892.4/12"</f>
        <v>892.4/12</v>
      </c>
      <c r="O243" t="s">
        <v>70</v>
      </c>
      <c r="P243" t="b">
        <v>0</v>
      </c>
      <c r="R243" t="str">
        <f>"9781874774037"</f>
        <v>9781874774037</v>
      </c>
      <c r="S243" t="str">
        <f>"9781909821170"</f>
        <v>9781909821170</v>
      </c>
      <c r="T243">
        <v>647411324</v>
      </c>
    </row>
    <row r="244" spans="1:20" x14ac:dyDescent="0.3">
      <c r="A244">
        <v>1863735</v>
      </c>
      <c r="B244" t="s">
        <v>1067</v>
      </c>
      <c r="C244" t="s">
        <v>1068</v>
      </c>
      <c r="D244" t="s">
        <v>64</v>
      </c>
      <c r="E244" t="s">
        <v>65</v>
      </c>
      <c r="F244">
        <v>1995</v>
      </c>
      <c r="G244" t="s">
        <v>1069</v>
      </c>
      <c r="H244" t="s">
        <v>1070</v>
      </c>
      <c r="I244" t="s">
        <v>1071</v>
      </c>
      <c r="J244" t="s">
        <v>24</v>
      </c>
      <c r="K244" t="s">
        <v>25</v>
      </c>
      <c r="L244" t="b">
        <v>1</v>
      </c>
      <c r="M244" t="s">
        <v>1072</v>
      </c>
      <c r="N244" t="str">
        <f>"296.1/6"</f>
        <v>296.1/6</v>
      </c>
      <c r="O244" t="s">
        <v>70</v>
      </c>
      <c r="P244" t="b">
        <v>0</v>
      </c>
      <c r="R244" t="str">
        <f>"9781874774105"</f>
        <v>9781874774105</v>
      </c>
      <c r="S244" t="str">
        <f>"9781909821293"</f>
        <v>9781909821293</v>
      </c>
      <c r="T244">
        <v>624393230</v>
      </c>
    </row>
    <row r="245" spans="1:20" x14ac:dyDescent="0.3">
      <c r="A245">
        <v>1863733</v>
      </c>
      <c r="B245" t="s">
        <v>1073</v>
      </c>
      <c r="D245" t="s">
        <v>64</v>
      </c>
      <c r="E245" t="s">
        <v>65</v>
      </c>
      <c r="F245">
        <v>2007</v>
      </c>
      <c r="G245" t="s">
        <v>713</v>
      </c>
      <c r="H245" t="s">
        <v>1074</v>
      </c>
      <c r="I245" t="s">
        <v>1075</v>
      </c>
      <c r="J245" t="s">
        <v>24</v>
      </c>
      <c r="K245" t="s">
        <v>25</v>
      </c>
      <c r="L245" t="b">
        <v>1</v>
      </c>
      <c r="M245" t="s">
        <v>1076</v>
      </c>
      <c r="N245" t="str">
        <f>"307.77609"</f>
        <v>307.77609</v>
      </c>
      <c r="O245" t="s">
        <v>1077</v>
      </c>
      <c r="P245" t="b">
        <v>0</v>
      </c>
      <c r="R245" t="str">
        <f>"9781874774068"</f>
        <v>9781874774068</v>
      </c>
      <c r="S245" t="str">
        <f>"9781909821484"</f>
        <v>9781909821484</v>
      </c>
      <c r="T245">
        <v>1039912684</v>
      </c>
    </row>
    <row r="246" spans="1:20" x14ac:dyDescent="0.3">
      <c r="A246">
        <v>1863732</v>
      </c>
      <c r="B246" t="s">
        <v>1078</v>
      </c>
      <c r="D246" t="s">
        <v>64</v>
      </c>
      <c r="E246" t="s">
        <v>65</v>
      </c>
      <c r="F246">
        <v>2007</v>
      </c>
      <c r="G246" t="s">
        <v>713</v>
      </c>
      <c r="H246" t="s">
        <v>1079</v>
      </c>
      <c r="I246" t="s">
        <v>1075</v>
      </c>
      <c r="J246" t="s">
        <v>24</v>
      </c>
      <c r="K246" t="s">
        <v>25</v>
      </c>
      <c r="L246" t="b">
        <v>1</v>
      </c>
      <c r="M246" t="s">
        <v>1076</v>
      </c>
      <c r="N246" t="str">
        <f>"307.77/609"</f>
        <v>307.77/609</v>
      </c>
      <c r="O246" t="s">
        <v>1077</v>
      </c>
      <c r="P246" t="b">
        <v>0</v>
      </c>
      <c r="R246" t="str">
        <f>"9780197100691"</f>
        <v>9780197100691</v>
      </c>
      <c r="S246" t="str">
        <f>"9781909821477"</f>
        <v>9781909821477</v>
      </c>
      <c r="T246">
        <v>1040696466</v>
      </c>
    </row>
    <row r="247" spans="1:20" x14ac:dyDescent="0.3">
      <c r="A247">
        <v>1863723</v>
      </c>
      <c r="B247" t="s">
        <v>1080</v>
      </c>
      <c r="C247" t="s">
        <v>1081</v>
      </c>
      <c r="D247" t="s">
        <v>64</v>
      </c>
      <c r="E247" t="s">
        <v>65</v>
      </c>
      <c r="F247">
        <v>2004</v>
      </c>
      <c r="G247" t="s">
        <v>859</v>
      </c>
      <c r="H247" t="s">
        <v>1082</v>
      </c>
      <c r="I247" t="s">
        <v>1083</v>
      </c>
      <c r="J247" t="s">
        <v>24</v>
      </c>
      <c r="K247" t="s">
        <v>25</v>
      </c>
      <c r="L247" t="b">
        <v>1</v>
      </c>
      <c r="M247" t="s">
        <v>1084</v>
      </c>
      <c r="N247" t="str">
        <f>"398.2/089/924"</f>
        <v>398.2/089/924</v>
      </c>
      <c r="O247" t="s">
        <v>70</v>
      </c>
      <c r="P247" t="b">
        <v>0</v>
      </c>
      <c r="R247" t="str">
        <f>"9781874774563"</f>
        <v>9781874774563</v>
      </c>
      <c r="S247" t="str">
        <f>"9781909821354"</f>
        <v>9781909821354</v>
      </c>
      <c r="T247">
        <v>1047960023</v>
      </c>
    </row>
    <row r="248" spans="1:20" x14ac:dyDescent="0.3">
      <c r="A248">
        <v>1863708</v>
      </c>
      <c r="B248" t="s">
        <v>1085</v>
      </c>
      <c r="C248" t="s">
        <v>1086</v>
      </c>
      <c r="D248" t="s">
        <v>64</v>
      </c>
      <c r="E248" t="s">
        <v>65</v>
      </c>
      <c r="F248">
        <v>1999</v>
      </c>
      <c r="G248" t="s">
        <v>73</v>
      </c>
      <c r="J248" t="s">
        <v>24</v>
      </c>
      <c r="K248" t="s">
        <v>25</v>
      </c>
      <c r="L248" t="b">
        <v>1</v>
      </c>
      <c r="M248" t="s">
        <v>1087</v>
      </c>
      <c r="O248" t="s">
        <v>1088</v>
      </c>
      <c r="P248" t="b">
        <v>0</v>
      </c>
      <c r="R248" t="str">
        <f>"9781874774402"</f>
        <v>9781874774402</v>
      </c>
      <c r="S248" t="str">
        <f>"9781909821637"</f>
        <v>9781909821637</v>
      </c>
    </row>
    <row r="249" spans="1:20" x14ac:dyDescent="0.3">
      <c r="A249">
        <v>1863701</v>
      </c>
      <c r="B249" t="s">
        <v>1089</v>
      </c>
      <c r="C249" t="s">
        <v>1090</v>
      </c>
      <c r="D249" t="s">
        <v>64</v>
      </c>
      <c r="E249" t="s">
        <v>65</v>
      </c>
      <c r="F249">
        <v>2008</v>
      </c>
      <c r="G249" t="s">
        <v>899</v>
      </c>
      <c r="H249" t="s">
        <v>1091</v>
      </c>
      <c r="I249" t="s">
        <v>1092</v>
      </c>
      <c r="J249" t="s">
        <v>24</v>
      </c>
      <c r="K249" t="s">
        <v>25</v>
      </c>
      <c r="L249" t="b">
        <v>1</v>
      </c>
      <c r="M249" t="s">
        <v>1093</v>
      </c>
      <c r="N249" t="str">
        <f>"792.089924"</f>
        <v>792.089924</v>
      </c>
      <c r="O249" t="s">
        <v>77</v>
      </c>
      <c r="P249" t="b">
        <v>0</v>
      </c>
      <c r="R249" t="str">
        <f>"9781874774815"</f>
        <v>9781874774815</v>
      </c>
      <c r="S249" t="str">
        <f>"9781909821224"</f>
        <v>9781909821224</v>
      </c>
      <c r="T249">
        <v>1047729569</v>
      </c>
    </row>
    <row r="250" spans="1:20" x14ac:dyDescent="0.3">
      <c r="A250">
        <v>1863687</v>
      </c>
      <c r="B250" t="s">
        <v>1094</v>
      </c>
      <c r="C250" t="s">
        <v>1095</v>
      </c>
      <c r="D250" t="s">
        <v>64</v>
      </c>
      <c r="E250" t="s">
        <v>65</v>
      </c>
      <c r="F250">
        <v>1993</v>
      </c>
      <c r="G250" t="s">
        <v>1096</v>
      </c>
      <c r="H250" t="s">
        <v>1097</v>
      </c>
      <c r="I250" t="s">
        <v>1098</v>
      </c>
      <c r="J250" t="s">
        <v>24</v>
      </c>
      <c r="K250" t="s">
        <v>25</v>
      </c>
      <c r="L250" t="b">
        <v>1</v>
      </c>
      <c r="M250" t="s">
        <v>1099</v>
      </c>
      <c r="N250" t="str">
        <f>"839/.0933"</f>
        <v>839/.0933</v>
      </c>
      <c r="O250" t="s">
        <v>70</v>
      </c>
      <c r="P250" t="b">
        <v>0</v>
      </c>
      <c r="R250" t="str">
        <f>"9781874774075"</f>
        <v>9781874774075</v>
      </c>
      <c r="S250" t="str">
        <f>"9781909821156"</f>
        <v>9781909821156</v>
      </c>
      <c r="T250">
        <v>610228618</v>
      </c>
    </row>
    <row r="251" spans="1:20" x14ac:dyDescent="0.3">
      <c r="A251">
        <v>1863684</v>
      </c>
      <c r="B251" t="s">
        <v>1100</v>
      </c>
      <c r="C251" t="s">
        <v>1101</v>
      </c>
      <c r="D251" t="s">
        <v>64</v>
      </c>
      <c r="E251" t="s">
        <v>65</v>
      </c>
      <c r="F251">
        <v>2003</v>
      </c>
      <c r="G251" t="s">
        <v>1102</v>
      </c>
      <c r="H251" t="s">
        <v>1103</v>
      </c>
      <c r="I251" t="s">
        <v>1104</v>
      </c>
      <c r="J251" t="s">
        <v>24</v>
      </c>
      <c r="K251" t="s">
        <v>25</v>
      </c>
      <c r="L251" t="b">
        <v>1</v>
      </c>
      <c r="M251" t="s">
        <v>1105</v>
      </c>
      <c r="N251" t="str">
        <f>"610/.8992/4/042"</f>
        <v>610/.8992/4/042</v>
      </c>
      <c r="O251" t="s">
        <v>70</v>
      </c>
      <c r="P251" t="b">
        <v>0</v>
      </c>
      <c r="R251" t="str">
        <f>"9781874774877"</f>
        <v>9781874774877</v>
      </c>
      <c r="S251" t="str">
        <f>"9781909821262"</f>
        <v>9781909821262</v>
      </c>
      <c r="T251">
        <v>607006405</v>
      </c>
    </row>
    <row r="252" spans="1:20" x14ac:dyDescent="0.3">
      <c r="A252">
        <v>1863682</v>
      </c>
      <c r="B252" t="s">
        <v>1106</v>
      </c>
      <c r="D252" t="s">
        <v>64</v>
      </c>
      <c r="E252" t="s">
        <v>65</v>
      </c>
      <c r="F252">
        <v>2007</v>
      </c>
      <c r="G252" t="s">
        <v>1107</v>
      </c>
      <c r="H252" t="s">
        <v>1108</v>
      </c>
      <c r="I252" t="s">
        <v>1109</v>
      </c>
      <c r="J252" t="s">
        <v>24</v>
      </c>
      <c r="K252" t="s">
        <v>25</v>
      </c>
      <c r="L252" t="b">
        <v>1</v>
      </c>
      <c r="M252" t="s">
        <v>1110</v>
      </c>
      <c r="N252" t="str">
        <f>"892.412"</f>
        <v>892.412</v>
      </c>
      <c r="O252" t="s">
        <v>70</v>
      </c>
      <c r="P252" t="b">
        <v>0</v>
      </c>
      <c r="R252" t="str">
        <f>"9781904113669"</f>
        <v>9781904113669</v>
      </c>
      <c r="S252" t="str">
        <f>"9781909821330"</f>
        <v>9781909821330</v>
      </c>
      <c r="T252">
        <v>1039919102</v>
      </c>
    </row>
    <row r="253" spans="1:20" x14ac:dyDescent="0.3">
      <c r="A253">
        <v>1863666</v>
      </c>
      <c r="B253" t="s">
        <v>1111</v>
      </c>
      <c r="D253" t="s">
        <v>64</v>
      </c>
      <c r="E253" t="s">
        <v>65</v>
      </c>
      <c r="F253">
        <v>2007</v>
      </c>
      <c r="G253" t="s">
        <v>259</v>
      </c>
      <c r="H253" t="s">
        <v>1112</v>
      </c>
      <c r="I253" t="s">
        <v>1113</v>
      </c>
      <c r="J253" t="s">
        <v>24</v>
      </c>
      <c r="K253" t="s">
        <v>25</v>
      </c>
      <c r="L253" t="b">
        <v>1</v>
      </c>
      <c r="M253" t="s">
        <v>1114</v>
      </c>
      <c r="N253" t="str">
        <f>"002.09/033"</f>
        <v>002.09/033</v>
      </c>
      <c r="O253" t="s">
        <v>70</v>
      </c>
      <c r="P253" t="b">
        <v>0</v>
      </c>
      <c r="R253" t="str">
        <f>"9781874774990"</f>
        <v>9781874774990</v>
      </c>
      <c r="S253" t="str">
        <f>"9781909821064"</f>
        <v>9781909821064</v>
      </c>
      <c r="T253">
        <v>989161613</v>
      </c>
    </row>
    <row r="254" spans="1:20" x14ac:dyDescent="0.3">
      <c r="A254">
        <v>1863661</v>
      </c>
      <c r="B254" t="s">
        <v>1115</v>
      </c>
      <c r="C254" t="s">
        <v>1116</v>
      </c>
      <c r="D254" t="s">
        <v>64</v>
      </c>
      <c r="E254" t="s">
        <v>65</v>
      </c>
      <c r="F254">
        <v>2007</v>
      </c>
      <c r="G254" t="s">
        <v>66</v>
      </c>
      <c r="H254" t="s">
        <v>1117</v>
      </c>
      <c r="I254" t="s">
        <v>1118</v>
      </c>
      <c r="J254" t="s">
        <v>24</v>
      </c>
      <c r="K254" t="s">
        <v>25</v>
      </c>
      <c r="L254" t="b">
        <v>1</v>
      </c>
      <c r="M254" t="s">
        <v>1119</v>
      </c>
      <c r="N254" t="str">
        <f>"861.30808924"</f>
        <v>861.30808924</v>
      </c>
      <c r="O254" t="s">
        <v>70</v>
      </c>
      <c r="P254" t="b">
        <v>0</v>
      </c>
      <c r="R254" t="str">
        <f>"9780197100479"</f>
        <v>9780197100479</v>
      </c>
      <c r="S254" t="str">
        <f>"9781909821491"</f>
        <v>9781909821491</v>
      </c>
      <c r="T254">
        <v>1040696187</v>
      </c>
    </row>
    <row r="255" spans="1:20" x14ac:dyDescent="0.3">
      <c r="A255">
        <v>1863651</v>
      </c>
      <c r="B255" t="s">
        <v>1120</v>
      </c>
      <c r="C255" t="s">
        <v>1121</v>
      </c>
      <c r="D255" t="s">
        <v>64</v>
      </c>
      <c r="E255" t="s">
        <v>65</v>
      </c>
      <c r="F255">
        <v>2009</v>
      </c>
      <c r="G255" t="s">
        <v>73</v>
      </c>
      <c r="H255" t="s">
        <v>1122</v>
      </c>
      <c r="I255" t="s">
        <v>1123</v>
      </c>
      <c r="J255" t="s">
        <v>24</v>
      </c>
      <c r="K255" t="s">
        <v>25</v>
      </c>
      <c r="L255" t="b">
        <v>1</v>
      </c>
      <c r="M255" t="s">
        <v>1124</v>
      </c>
      <c r="N255" t="str">
        <f>"371.076"</f>
        <v>371.076</v>
      </c>
      <c r="O255" t="s">
        <v>70</v>
      </c>
      <c r="P255" t="b">
        <v>0</v>
      </c>
      <c r="R255" t="str">
        <f>"9781904113744"</f>
        <v>9781904113744</v>
      </c>
      <c r="S255" t="str">
        <f>"9781909821101"</f>
        <v>9781909821101</v>
      </c>
      <c r="T255">
        <v>682097948</v>
      </c>
    </row>
    <row r="256" spans="1:20" x14ac:dyDescent="0.3">
      <c r="A256">
        <v>1862772</v>
      </c>
      <c r="B256" t="s">
        <v>1125</v>
      </c>
      <c r="D256" t="s">
        <v>423</v>
      </c>
      <c r="E256" t="s">
        <v>1126</v>
      </c>
      <c r="F256">
        <v>2016</v>
      </c>
      <c r="G256" t="s">
        <v>125</v>
      </c>
      <c r="H256" t="s">
        <v>1127</v>
      </c>
      <c r="I256" t="s">
        <v>1128</v>
      </c>
      <c r="J256" t="s">
        <v>24</v>
      </c>
      <c r="K256" t="s">
        <v>55</v>
      </c>
      <c r="L256" t="b">
        <v>1</v>
      </c>
      <c r="M256" t="s">
        <v>1129</v>
      </c>
      <c r="N256" t="str">
        <f>"821/.9208"</f>
        <v>821/.9208</v>
      </c>
      <c r="O256" t="s">
        <v>1130</v>
      </c>
      <c r="P256" t="b">
        <v>0</v>
      </c>
      <c r="R256" t="str">
        <f>"9781911027034"</f>
        <v>9781911027034</v>
      </c>
      <c r="S256" t="str">
        <f>"9781911027584"</f>
        <v>9781911027584</v>
      </c>
      <c r="T256">
        <v>1047607969</v>
      </c>
    </row>
    <row r="257" spans="1:20" x14ac:dyDescent="0.3">
      <c r="A257">
        <v>1862769</v>
      </c>
      <c r="B257" t="s">
        <v>1131</v>
      </c>
      <c r="D257" t="s">
        <v>423</v>
      </c>
      <c r="E257" t="s">
        <v>1126</v>
      </c>
      <c r="F257">
        <v>2015</v>
      </c>
      <c r="G257" t="s">
        <v>125</v>
      </c>
      <c r="H257" t="s">
        <v>1132</v>
      </c>
      <c r="I257" t="s">
        <v>1133</v>
      </c>
      <c r="J257" t="s">
        <v>24</v>
      </c>
      <c r="K257" t="s">
        <v>55</v>
      </c>
      <c r="L257" t="b">
        <v>1</v>
      </c>
      <c r="M257" t="s">
        <v>1134</v>
      </c>
      <c r="N257" t="str">
        <f>"821.92"</f>
        <v>821.92</v>
      </c>
      <c r="P257" t="b">
        <v>0</v>
      </c>
      <c r="R257" t="str">
        <f>"9780993120145"</f>
        <v>9780993120145</v>
      </c>
      <c r="S257" t="str">
        <f>"9781911027591"</f>
        <v>9781911027591</v>
      </c>
      <c r="T257">
        <v>1047608177</v>
      </c>
    </row>
    <row r="258" spans="1:20" x14ac:dyDescent="0.3">
      <c r="A258">
        <v>1862768</v>
      </c>
      <c r="B258" t="s">
        <v>1135</v>
      </c>
      <c r="D258" t="s">
        <v>423</v>
      </c>
      <c r="E258" t="s">
        <v>1126</v>
      </c>
      <c r="F258">
        <v>2010</v>
      </c>
      <c r="G258" t="s">
        <v>125</v>
      </c>
      <c r="H258" t="s">
        <v>1136</v>
      </c>
      <c r="I258" t="s">
        <v>1137</v>
      </c>
      <c r="J258" t="s">
        <v>24</v>
      </c>
      <c r="K258" t="s">
        <v>55</v>
      </c>
      <c r="L258" t="b">
        <v>1</v>
      </c>
      <c r="M258" t="s">
        <v>1138</v>
      </c>
      <c r="N258" t="str">
        <f>"821.92"</f>
        <v>821.92</v>
      </c>
      <c r="P258" t="b">
        <v>0</v>
      </c>
      <c r="R258" t="str">
        <f>"9780956551443"</f>
        <v>9780956551443</v>
      </c>
      <c r="S258" t="str">
        <f>"9781911027577"</f>
        <v>9781911027577</v>
      </c>
      <c r="T258">
        <v>1047608357</v>
      </c>
    </row>
    <row r="259" spans="1:20" x14ac:dyDescent="0.3">
      <c r="A259">
        <v>1862767</v>
      </c>
      <c r="B259" t="s">
        <v>1139</v>
      </c>
      <c r="D259" t="s">
        <v>423</v>
      </c>
      <c r="E259" t="s">
        <v>1126</v>
      </c>
      <c r="F259">
        <v>2013</v>
      </c>
      <c r="G259" t="s">
        <v>125</v>
      </c>
      <c r="H259" t="s">
        <v>1136</v>
      </c>
      <c r="I259" t="s">
        <v>1137</v>
      </c>
      <c r="J259" t="s">
        <v>24</v>
      </c>
      <c r="K259" t="s">
        <v>55</v>
      </c>
      <c r="L259" t="b">
        <v>1</v>
      </c>
      <c r="M259" t="s">
        <v>1138</v>
      </c>
      <c r="N259" t="str">
        <f>"821.92"</f>
        <v>821.92</v>
      </c>
      <c r="P259" t="b">
        <v>0</v>
      </c>
      <c r="R259" t="str">
        <f>"9780957384743"</f>
        <v>9780957384743</v>
      </c>
      <c r="S259" t="str">
        <f>"9781911027560"</f>
        <v>9781911027560</v>
      </c>
      <c r="T259">
        <v>1047608356</v>
      </c>
    </row>
    <row r="260" spans="1:20" x14ac:dyDescent="0.3">
      <c r="A260">
        <v>1862766</v>
      </c>
      <c r="B260" t="s">
        <v>1140</v>
      </c>
      <c r="D260" t="s">
        <v>423</v>
      </c>
      <c r="E260" t="s">
        <v>1126</v>
      </c>
      <c r="F260">
        <v>2012</v>
      </c>
      <c r="G260" t="s">
        <v>125</v>
      </c>
      <c r="H260" t="s">
        <v>1141</v>
      </c>
      <c r="I260" t="s">
        <v>1137</v>
      </c>
      <c r="J260" t="s">
        <v>24</v>
      </c>
      <c r="K260" t="s">
        <v>55</v>
      </c>
      <c r="L260" t="b">
        <v>1</v>
      </c>
      <c r="M260" t="s">
        <v>1142</v>
      </c>
      <c r="N260" t="str">
        <f>"821.92"</f>
        <v>821.92</v>
      </c>
      <c r="O260" t="s">
        <v>1143</v>
      </c>
      <c r="P260" t="b">
        <v>0</v>
      </c>
      <c r="R260" t="str">
        <f>"9780957098459"</f>
        <v>9780957098459</v>
      </c>
      <c r="S260" t="str">
        <f>"9781911027553"</f>
        <v>9781911027553</v>
      </c>
      <c r="T260">
        <v>1047608355</v>
      </c>
    </row>
    <row r="261" spans="1:20" x14ac:dyDescent="0.3">
      <c r="A261">
        <v>1862765</v>
      </c>
      <c r="B261" t="s">
        <v>1144</v>
      </c>
      <c r="D261" t="s">
        <v>423</v>
      </c>
      <c r="E261" t="s">
        <v>1126</v>
      </c>
      <c r="F261">
        <v>2013</v>
      </c>
      <c r="G261" t="s">
        <v>125</v>
      </c>
      <c r="H261" t="s">
        <v>1145</v>
      </c>
      <c r="I261" t="s">
        <v>1137</v>
      </c>
      <c r="J261" t="s">
        <v>24</v>
      </c>
      <c r="K261" t="s">
        <v>55</v>
      </c>
      <c r="L261" t="b">
        <v>1</v>
      </c>
      <c r="M261" t="s">
        <v>1146</v>
      </c>
      <c r="N261" t="str">
        <f>"821/.92"</f>
        <v>821/.92</v>
      </c>
      <c r="P261" t="b">
        <v>0</v>
      </c>
      <c r="R261" t="str">
        <f>"9780957384712"</f>
        <v>9780957384712</v>
      </c>
      <c r="S261" t="str">
        <f>"9781911027546"</f>
        <v>9781911027546</v>
      </c>
      <c r="T261">
        <v>1047608263</v>
      </c>
    </row>
    <row r="262" spans="1:20" x14ac:dyDescent="0.3">
      <c r="A262">
        <v>1862764</v>
      </c>
      <c r="B262" t="s">
        <v>1147</v>
      </c>
      <c r="D262" t="s">
        <v>423</v>
      </c>
      <c r="E262" t="s">
        <v>1126</v>
      </c>
      <c r="F262">
        <v>2014</v>
      </c>
      <c r="G262" t="s">
        <v>125</v>
      </c>
      <c r="H262" t="s">
        <v>1148</v>
      </c>
      <c r="I262" t="s">
        <v>1137</v>
      </c>
      <c r="J262" t="s">
        <v>24</v>
      </c>
      <c r="K262" t="s">
        <v>55</v>
      </c>
      <c r="L262" t="b">
        <v>1</v>
      </c>
      <c r="M262" t="s">
        <v>1149</v>
      </c>
      <c r="N262" t="str">
        <f>"821/.92"</f>
        <v>821/.92</v>
      </c>
      <c r="O262" t="s">
        <v>1143</v>
      </c>
      <c r="P262" t="b">
        <v>0</v>
      </c>
      <c r="R262" t="str">
        <f>"9780992758912"</f>
        <v>9780992758912</v>
      </c>
      <c r="S262" t="str">
        <f>"9781911027539"</f>
        <v>9781911027539</v>
      </c>
      <c r="T262">
        <v>1047608262</v>
      </c>
    </row>
    <row r="263" spans="1:20" x14ac:dyDescent="0.3">
      <c r="A263">
        <v>1862763</v>
      </c>
      <c r="B263" t="s">
        <v>1150</v>
      </c>
      <c r="D263" t="s">
        <v>423</v>
      </c>
      <c r="E263" t="s">
        <v>1126</v>
      </c>
      <c r="F263">
        <v>2014</v>
      </c>
      <c r="G263" t="s">
        <v>125</v>
      </c>
      <c r="H263" t="s">
        <v>1151</v>
      </c>
      <c r="I263" t="s">
        <v>1137</v>
      </c>
      <c r="J263" t="s">
        <v>24</v>
      </c>
      <c r="K263" t="s">
        <v>55</v>
      </c>
      <c r="L263" t="b">
        <v>1</v>
      </c>
      <c r="M263" t="s">
        <v>1152</v>
      </c>
      <c r="N263" t="str">
        <f>"821.92"</f>
        <v>821.92</v>
      </c>
      <c r="O263" t="s">
        <v>1143</v>
      </c>
      <c r="P263" t="b">
        <v>0</v>
      </c>
      <c r="R263" t="str">
        <f>"9780992758974"</f>
        <v>9780992758974</v>
      </c>
      <c r="S263" t="str">
        <f>"9781911027522"</f>
        <v>9781911027522</v>
      </c>
      <c r="T263">
        <v>1047608261</v>
      </c>
    </row>
    <row r="264" spans="1:20" x14ac:dyDescent="0.3">
      <c r="A264">
        <v>1862762</v>
      </c>
      <c r="B264" t="s">
        <v>1153</v>
      </c>
      <c r="D264" t="s">
        <v>423</v>
      </c>
      <c r="E264" t="s">
        <v>1126</v>
      </c>
      <c r="F264">
        <v>2015</v>
      </c>
      <c r="G264" t="s">
        <v>125</v>
      </c>
      <c r="H264" t="s">
        <v>1154</v>
      </c>
      <c r="I264" t="s">
        <v>1137</v>
      </c>
      <c r="J264" t="s">
        <v>24</v>
      </c>
      <c r="K264" t="s">
        <v>55</v>
      </c>
      <c r="L264" t="b">
        <v>1</v>
      </c>
      <c r="M264" t="s">
        <v>1155</v>
      </c>
      <c r="N264" t="str">
        <f>"821.92"</f>
        <v>821.92</v>
      </c>
      <c r="P264" t="b">
        <v>0</v>
      </c>
      <c r="R264" t="str">
        <f>"9780993120152"</f>
        <v>9780993120152</v>
      </c>
      <c r="S264" t="str">
        <f>"9781911027515"</f>
        <v>9781911027515</v>
      </c>
      <c r="T264">
        <v>1047608178</v>
      </c>
    </row>
    <row r="265" spans="1:20" x14ac:dyDescent="0.3">
      <c r="A265">
        <v>1862761</v>
      </c>
      <c r="B265" t="s">
        <v>1156</v>
      </c>
      <c r="D265" t="s">
        <v>423</v>
      </c>
      <c r="E265" t="s">
        <v>1126</v>
      </c>
      <c r="F265">
        <v>2015</v>
      </c>
      <c r="G265" t="s">
        <v>125</v>
      </c>
      <c r="H265" t="s">
        <v>1157</v>
      </c>
      <c r="I265" t="s">
        <v>1128</v>
      </c>
      <c r="J265" t="s">
        <v>24</v>
      </c>
      <c r="K265" t="s">
        <v>55</v>
      </c>
      <c r="L265" t="b">
        <v>1</v>
      </c>
      <c r="M265" t="s">
        <v>1158</v>
      </c>
      <c r="N265" t="str">
        <f>"821.92"</f>
        <v>821.92</v>
      </c>
      <c r="P265" t="b">
        <v>0</v>
      </c>
      <c r="R265" t="str">
        <f>"9780993120183"</f>
        <v>9780993120183</v>
      </c>
      <c r="S265" t="str">
        <f>"9781911027508"</f>
        <v>9781911027508</v>
      </c>
      <c r="T265">
        <v>1047608162</v>
      </c>
    </row>
    <row r="266" spans="1:20" x14ac:dyDescent="0.3">
      <c r="A266">
        <v>1862760</v>
      </c>
      <c r="B266" t="s">
        <v>1159</v>
      </c>
      <c r="D266" t="s">
        <v>423</v>
      </c>
      <c r="E266" t="s">
        <v>1126</v>
      </c>
      <c r="F266">
        <v>2012</v>
      </c>
      <c r="G266" t="s">
        <v>125</v>
      </c>
      <c r="H266" t="s">
        <v>1160</v>
      </c>
      <c r="I266" t="s">
        <v>1137</v>
      </c>
      <c r="J266" t="s">
        <v>24</v>
      </c>
      <c r="K266" t="s">
        <v>55</v>
      </c>
      <c r="L266" t="b">
        <v>1</v>
      </c>
      <c r="M266" t="s">
        <v>1158</v>
      </c>
      <c r="N266" t="str">
        <f>"821.92"</f>
        <v>821.92</v>
      </c>
      <c r="O266" t="s">
        <v>1143</v>
      </c>
      <c r="P266" t="b">
        <v>0</v>
      </c>
      <c r="R266" t="str">
        <f>"9780957098466"</f>
        <v>9780957098466</v>
      </c>
      <c r="S266" t="str">
        <f>"9781911027492"</f>
        <v>9781911027492</v>
      </c>
      <c r="T266">
        <v>1047608354</v>
      </c>
    </row>
    <row r="267" spans="1:20" x14ac:dyDescent="0.3">
      <c r="A267">
        <v>1858997</v>
      </c>
      <c r="B267" t="s">
        <v>1161</v>
      </c>
      <c r="C267" t="s">
        <v>1162</v>
      </c>
      <c r="D267" t="s">
        <v>1163</v>
      </c>
      <c r="E267" t="s">
        <v>1163</v>
      </c>
      <c r="F267">
        <v>2006</v>
      </c>
      <c r="G267" t="s">
        <v>1164</v>
      </c>
      <c r="H267" t="s">
        <v>1165</v>
      </c>
      <c r="I267" t="s">
        <v>1166</v>
      </c>
      <c r="J267" t="s">
        <v>24</v>
      </c>
      <c r="K267" t="s">
        <v>25</v>
      </c>
      <c r="L267" t="b">
        <v>1</v>
      </c>
      <c r="M267" t="s">
        <v>1167</v>
      </c>
      <c r="N267" t="str">
        <f>"305.8"</f>
        <v>305.8</v>
      </c>
      <c r="O267" t="s">
        <v>1168</v>
      </c>
      <c r="P267" t="b">
        <v>0</v>
      </c>
      <c r="R267" t="str">
        <f>"9781845452353"</f>
        <v>9781845452353</v>
      </c>
      <c r="S267" t="str">
        <f>"9781782387633"</f>
        <v>9781782387633</v>
      </c>
      <c r="T267">
        <v>1046990315</v>
      </c>
    </row>
    <row r="268" spans="1:20" x14ac:dyDescent="0.3">
      <c r="A268">
        <v>1858996</v>
      </c>
      <c r="B268" t="s">
        <v>1169</v>
      </c>
      <c r="C268" t="s">
        <v>1170</v>
      </c>
      <c r="D268" t="s">
        <v>1163</v>
      </c>
      <c r="E268" t="s">
        <v>1163</v>
      </c>
      <c r="F268">
        <v>1996</v>
      </c>
      <c r="G268" t="s">
        <v>1171</v>
      </c>
      <c r="H268" t="s">
        <v>1172</v>
      </c>
      <c r="I268" t="s">
        <v>1173</v>
      </c>
      <c r="J268" t="s">
        <v>24</v>
      </c>
      <c r="K268" t="s">
        <v>25</v>
      </c>
      <c r="L268" t="b">
        <v>1</v>
      </c>
      <c r="M268" t="s">
        <v>1174</v>
      </c>
      <c r="N268" t="str">
        <f>"946/.754"</f>
        <v>946/.754</v>
      </c>
      <c r="O268" t="s">
        <v>1175</v>
      </c>
      <c r="P268" t="b">
        <v>0</v>
      </c>
      <c r="R268" t="str">
        <f>"9781571818898"</f>
        <v>9781571818898</v>
      </c>
      <c r="S268" t="str">
        <f>"9781782381860"</f>
        <v>9781782381860</v>
      </c>
      <c r="T268">
        <v>1046990657</v>
      </c>
    </row>
    <row r="269" spans="1:20" x14ac:dyDescent="0.3">
      <c r="A269">
        <v>1858995</v>
      </c>
      <c r="B269" t="s">
        <v>1176</v>
      </c>
      <c r="C269" t="s">
        <v>1177</v>
      </c>
      <c r="D269" t="s">
        <v>1163</v>
      </c>
      <c r="E269" t="s">
        <v>1163</v>
      </c>
      <c r="F269">
        <v>2004</v>
      </c>
      <c r="G269" t="s">
        <v>1178</v>
      </c>
      <c r="H269" t="s">
        <v>1179</v>
      </c>
      <c r="I269" t="s">
        <v>1180</v>
      </c>
      <c r="J269" t="s">
        <v>24</v>
      </c>
      <c r="K269" t="s">
        <v>25</v>
      </c>
      <c r="L269" t="b">
        <v>1</v>
      </c>
      <c r="M269" t="s">
        <v>1181</v>
      </c>
      <c r="N269" t="str">
        <f>"324.24403"</f>
        <v>324.24403</v>
      </c>
      <c r="O269" t="s">
        <v>1182</v>
      </c>
      <c r="P269" t="b">
        <v>0</v>
      </c>
      <c r="R269" t="str">
        <f>"9781571816436"</f>
        <v>9781571816436</v>
      </c>
      <c r="S269" t="str">
        <f>"9781782381808"</f>
        <v>9781782381808</v>
      </c>
      <c r="T269">
        <v>646525155</v>
      </c>
    </row>
    <row r="270" spans="1:20" x14ac:dyDescent="0.3">
      <c r="A270">
        <v>1858994</v>
      </c>
      <c r="B270" t="s">
        <v>1183</v>
      </c>
      <c r="C270" t="s">
        <v>1184</v>
      </c>
      <c r="D270" t="s">
        <v>1163</v>
      </c>
      <c r="E270" t="s">
        <v>1163</v>
      </c>
      <c r="F270">
        <v>2006</v>
      </c>
      <c r="G270" t="s">
        <v>1185</v>
      </c>
      <c r="H270" t="s">
        <v>1186</v>
      </c>
      <c r="I270" t="s">
        <v>1187</v>
      </c>
      <c r="J270" t="s">
        <v>24</v>
      </c>
      <c r="K270" t="s">
        <v>25</v>
      </c>
      <c r="L270" t="b">
        <v>1</v>
      </c>
      <c r="M270" t="s">
        <v>1188</v>
      </c>
      <c r="N270" t="str">
        <f>"972.9/03"</f>
        <v>972.9/03</v>
      </c>
      <c r="O270" t="s">
        <v>1189</v>
      </c>
      <c r="P270" t="b">
        <v>0</v>
      </c>
      <c r="R270" t="str">
        <f>"9781845450793"</f>
        <v>9781845450793</v>
      </c>
      <c r="S270" t="str">
        <f>"9781782382065"</f>
        <v>9781782382065</v>
      </c>
      <c r="T270">
        <v>768471979</v>
      </c>
    </row>
    <row r="271" spans="1:20" x14ac:dyDescent="0.3">
      <c r="A271">
        <v>1858993</v>
      </c>
      <c r="B271" t="s">
        <v>1190</v>
      </c>
      <c r="C271" t="s">
        <v>1191</v>
      </c>
      <c r="D271" t="s">
        <v>1163</v>
      </c>
      <c r="E271" t="s">
        <v>1163</v>
      </c>
      <c r="F271">
        <v>2002</v>
      </c>
      <c r="G271" t="s">
        <v>249</v>
      </c>
      <c r="H271" t="s">
        <v>1192</v>
      </c>
      <c r="I271" t="s">
        <v>1193</v>
      </c>
      <c r="J271" t="s">
        <v>24</v>
      </c>
      <c r="K271" t="s">
        <v>25</v>
      </c>
      <c r="L271" t="b">
        <v>1</v>
      </c>
      <c r="M271" t="s">
        <v>1194</v>
      </c>
      <c r="N271" t="str">
        <f>"305.8/009416"</f>
        <v>305.8/009416</v>
      </c>
      <c r="P271" t="b">
        <v>0</v>
      </c>
      <c r="R271" t="str">
        <f>"9781571817723"</f>
        <v>9781571817723</v>
      </c>
      <c r="S271" t="str">
        <f>"9781782381662"</f>
        <v>9781782381662</v>
      </c>
      <c r="T271">
        <v>606737175</v>
      </c>
    </row>
    <row r="272" spans="1:20" x14ac:dyDescent="0.3">
      <c r="A272">
        <v>1858992</v>
      </c>
      <c r="B272" t="s">
        <v>1195</v>
      </c>
      <c r="C272" t="s">
        <v>1196</v>
      </c>
      <c r="D272" t="s">
        <v>1163</v>
      </c>
      <c r="E272" t="s">
        <v>1163</v>
      </c>
      <c r="F272">
        <v>2001</v>
      </c>
      <c r="G272" t="s">
        <v>97</v>
      </c>
      <c r="H272" t="s">
        <v>1197</v>
      </c>
      <c r="I272" t="s">
        <v>1198</v>
      </c>
      <c r="J272" t="s">
        <v>24</v>
      </c>
      <c r="K272" t="s">
        <v>25</v>
      </c>
      <c r="L272" t="b">
        <v>1</v>
      </c>
      <c r="M272" t="s">
        <v>1199</v>
      </c>
      <c r="N272" t="str">
        <f>"128/.0944/09033"</f>
        <v>128/.0944/09033</v>
      </c>
      <c r="O272" t="s">
        <v>1189</v>
      </c>
      <c r="P272" t="b">
        <v>0</v>
      </c>
      <c r="R272" t="str">
        <f>"9781571817099"</f>
        <v>9781571817099</v>
      </c>
      <c r="S272" t="str">
        <f>"9781782381709"</f>
        <v>9781782381709</v>
      </c>
      <c r="T272">
        <v>1046990717</v>
      </c>
    </row>
    <row r="273" spans="1:20" x14ac:dyDescent="0.3">
      <c r="A273">
        <v>1858991</v>
      </c>
      <c r="B273" t="s">
        <v>1200</v>
      </c>
      <c r="C273" t="s">
        <v>1201</v>
      </c>
      <c r="D273" t="s">
        <v>1163</v>
      </c>
      <c r="E273" t="s">
        <v>1163</v>
      </c>
      <c r="F273">
        <v>2006</v>
      </c>
      <c r="G273" t="s">
        <v>1202</v>
      </c>
      <c r="H273" t="s">
        <v>1203</v>
      </c>
      <c r="I273" t="s">
        <v>1204</v>
      </c>
      <c r="J273" t="s">
        <v>24</v>
      </c>
      <c r="K273" t="s">
        <v>25</v>
      </c>
      <c r="L273" t="b">
        <v>1</v>
      </c>
      <c r="M273" t="s">
        <v>1205</v>
      </c>
      <c r="N273" t="str">
        <f>"770"</f>
        <v>770</v>
      </c>
      <c r="O273" t="s">
        <v>1206</v>
      </c>
      <c r="P273" t="b">
        <v>0</v>
      </c>
      <c r="R273" t="str">
        <f>"9781845452193"</f>
        <v>9781845452193</v>
      </c>
      <c r="S273" t="str">
        <f>"9781782381990"</f>
        <v>9781782381990</v>
      </c>
      <c r="T273">
        <v>1046990684</v>
      </c>
    </row>
    <row r="274" spans="1:20" x14ac:dyDescent="0.3">
      <c r="A274">
        <v>1858990</v>
      </c>
      <c r="B274" t="s">
        <v>1207</v>
      </c>
      <c r="C274" t="s">
        <v>1208</v>
      </c>
      <c r="D274" t="s">
        <v>1163</v>
      </c>
      <c r="E274" t="s">
        <v>1163</v>
      </c>
      <c r="F274">
        <v>2005</v>
      </c>
      <c r="G274" t="s">
        <v>1209</v>
      </c>
      <c r="H274" t="s">
        <v>1210</v>
      </c>
      <c r="I274" t="s">
        <v>1211</v>
      </c>
      <c r="J274" t="s">
        <v>24</v>
      </c>
      <c r="K274" t="s">
        <v>25</v>
      </c>
      <c r="L274" t="b">
        <v>1</v>
      </c>
      <c r="M274" t="s">
        <v>1212</v>
      </c>
      <c r="N274" t="str">
        <f>"111/.85"</f>
        <v>111/.85</v>
      </c>
      <c r="P274" t="b">
        <v>0</v>
      </c>
      <c r="R274" t="str">
        <f>"9781571815675"</f>
        <v>9781571815675</v>
      </c>
      <c r="S274" t="str">
        <f>"9781782382041"</f>
        <v>9781782382041</v>
      </c>
      <c r="T274">
        <v>1046990704</v>
      </c>
    </row>
    <row r="275" spans="1:20" x14ac:dyDescent="0.3">
      <c r="A275">
        <v>1858989</v>
      </c>
      <c r="B275" t="s">
        <v>1213</v>
      </c>
      <c r="C275" t="s">
        <v>1214</v>
      </c>
      <c r="D275" t="s">
        <v>1163</v>
      </c>
      <c r="E275" t="s">
        <v>1163</v>
      </c>
      <c r="F275">
        <v>1996</v>
      </c>
      <c r="G275" t="s">
        <v>870</v>
      </c>
      <c r="H275" t="s">
        <v>1215</v>
      </c>
      <c r="I275" t="s">
        <v>1216</v>
      </c>
      <c r="J275" t="s">
        <v>24</v>
      </c>
      <c r="K275" t="s">
        <v>25</v>
      </c>
      <c r="L275" t="b">
        <v>1</v>
      </c>
      <c r="M275" t="s">
        <v>1217</v>
      </c>
      <c r="N275" t="str">
        <f>"352.043/09/044"</f>
        <v>352.043/09/044</v>
      </c>
      <c r="O275" t="s">
        <v>1218</v>
      </c>
      <c r="P275" t="b">
        <v>0</v>
      </c>
      <c r="R275" t="str">
        <f>"9781571810359"</f>
        <v>9781571810359</v>
      </c>
      <c r="S275" t="str">
        <f>"9781785330117"</f>
        <v>9781785330117</v>
      </c>
      <c r="T275">
        <v>1047734502</v>
      </c>
    </row>
    <row r="276" spans="1:20" x14ac:dyDescent="0.3">
      <c r="A276">
        <v>1858988</v>
      </c>
      <c r="B276" t="s">
        <v>1219</v>
      </c>
      <c r="C276" t="s">
        <v>1220</v>
      </c>
      <c r="D276" t="s">
        <v>1163</v>
      </c>
      <c r="E276" t="s">
        <v>1163</v>
      </c>
      <c r="F276">
        <v>2000</v>
      </c>
      <c r="G276" t="s">
        <v>1221</v>
      </c>
      <c r="H276" t="s">
        <v>1222</v>
      </c>
      <c r="I276" t="s">
        <v>1223</v>
      </c>
      <c r="J276" t="s">
        <v>24</v>
      </c>
      <c r="K276" t="s">
        <v>25</v>
      </c>
      <c r="L276" t="b">
        <v>1</v>
      </c>
      <c r="M276" t="s">
        <v>1224</v>
      </c>
      <c r="N276" t="str">
        <f>"303.48/24073"</f>
        <v>303.48/24073</v>
      </c>
      <c r="P276" t="b">
        <v>0</v>
      </c>
      <c r="R276" t="str">
        <f>"9781571811073"</f>
        <v>9781571811073</v>
      </c>
      <c r="S276" t="str">
        <f>"9781785330049"</f>
        <v>9781785330049</v>
      </c>
      <c r="T276">
        <v>607377404</v>
      </c>
    </row>
    <row r="277" spans="1:20" x14ac:dyDescent="0.3">
      <c r="A277">
        <v>1858630</v>
      </c>
      <c r="B277" t="s">
        <v>1225</v>
      </c>
      <c r="D277" t="s">
        <v>1226</v>
      </c>
      <c r="E277" t="s">
        <v>1227</v>
      </c>
      <c r="F277">
        <v>2013</v>
      </c>
      <c r="G277" t="s">
        <v>1228</v>
      </c>
      <c r="J277" t="s">
        <v>24</v>
      </c>
      <c r="K277" t="s">
        <v>25</v>
      </c>
      <c r="L277" t="b">
        <v>1</v>
      </c>
      <c r="M277" t="s">
        <v>1229</v>
      </c>
      <c r="P277" t="b">
        <v>0</v>
      </c>
      <c r="R277" t="str">
        <f>"9789953009414"</f>
        <v>9789953009414</v>
      </c>
      <c r="S277" t="str">
        <f>"9780992199821"</f>
        <v>9780992199821</v>
      </c>
    </row>
    <row r="278" spans="1:20" x14ac:dyDescent="0.3">
      <c r="A278">
        <v>1857616</v>
      </c>
      <c r="B278" t="s">
        <v>1230</v>
      </c>
      <c r="D278" t="s">
        <v>38</v>
      </c>
      <c r="E278" t="s">
        <v>1231</v>
      </c>
      <c r="F278">
        <v>1975</v>
      </c>
      <c r="G278" t="s">
        <v>1232</v>
      </c>
      <c r="H278" t="s">
        <v>1233</v>
      </c>
      <c r="I278" t="s">
        <v>1234</v>
      </c>
      <c r="J278" t="s">
        <v>24</v>
      </c>
      <c r="K278" t="s">
        <v>25</v>
      </c>
      <c r="L278" t="b">
        <v>1</v>
      </c>
      <c r="M278" t="s">
        <v>1235</v>
      </c>
      <c r="N278" t="str">
        <f>"300/.8"</f>
        <v>300/.8</v>
      </c>
      <c r="O278" t="s">
        <v>1236</v>
      </c>
      <c r="P278" t="b">
        <v>0</v>
      </c>
      <c r="R278" t="str">
        <f>"9780871549938"</f>
        <v>9780871549938</v>
      </c>
      <c r="S278" t="str">
        <f>"9781610448826"</f>
        <v>9781610448826</v>
      </c>
      <c r="T278">
        <v>1052566845</v>
      </c>
    </row>
    <row r="279" spans="1:20" x14ac:dyDescent="0.3">
      <c r="A279">
        <v>1857613</v>
      </c>
      <c r="B279" t="s">
        <v>1237</v>
      </c>
      <c r="C279" t="s">
        <v>1238</v>
      </c>
      <c r="D279" t="s">
        <v>38</v>
      </c>
      <c r="E279" t="s">
        <v>1231</v>
      </c>
      <c r="F279">
        <v>1972</v>
      </c>
      <c r="G279" t="s">
        <v>97</v>
      </c>
      <c r="H279" t="s">
        <v>1239</v>
      </c>
      <c r="I279" t="s">
        <v>1240</v>
      </c>
      <c r="J279" t="s">
        <v>24</v>
      </c>
      <c r="K279" t="s">
        <v>25</v>
      </c>
      <c r="L279" t="b">
        <v>1</v>
      </c>
      <c r="M279" t="s">
        <v>1241</v>
      </c>
      <c r="N279" t="str">
        <f>"300/.8 s;300/.7/2073"</f>
        <v>300/.8 s;300/.7/2073</v>
      </c>
      <c r="O279" t="s">
        <v>1236</v>
      </c>
      <c r="P279" t="b">
        <v>0</v>
      </c>
      <c r="R279" t="str">
        <f>"9780871543790"</f>
        <v>9780871543790</v>
      </c>
      <c r="S279" t="str">
        <f>"9781610448796"</f>
        <v>9781610448796</v>
      </c>
      <c r="T279">
        <v>610589937</v>
      </c>
    </row>
    <row r="280" spans="1:20" x14ac:dyDescent="0.3">
      <c r="A280">
        <v>1857610</v>
      </c>
      <c r="B280" t="s">
        <v>1242</v>
      </c>
      <c r="C280" t="s">
        <v>1243</v>
      </c>
      <c r="D280" t="s">
        <v>1244</v>
      </c>
      <c r="E280" t="s">
        <v>1244</v>
      </c>
      <c r="F280">
        <v>2006</v>
      </c>
      <c r="G280" t="s">
        <v>60</v>
      </c>
      <c r="J280" t="s">
        <v>24</v>
      </c>
      <c r="K280" t="s">
        <v>25</v>
      </c>
      <c r="L280" t="b">
        <v>1</v>
      </c>
      <c r="M280" t="s">
        <v>1245</v>
      </c>
      <c r="P280" t="b">
        <v>0</v>
      </c>
      <c r="S280" t="str">
        <f>"9780889207592"</f>
        <v>9780889207592</v>
      </c>
    </row>
    <row r="281" spans="1:20" x14ac:dyDescent="0.3">
      <c r="A281">
        <v>1857599</v>
      </c>
      <c r="B281" t="s">
        <v>1246</v>
      </c>
      <c r="D281" t="s">
        <v>1247</v>
      </c>
      <c r="E281" t="s">
        <v>1248</v>
      </c>
      <c r="F281">
        <v>2016</v>
      </c>
      <c r="G281" t="s">
        <v>1249</v>
      </c>
      <c r="J281" t="s">
        <v>24</v>
      </c>
      <c r="K281" t="s">
        <v>55</v>
      </c>
      <c r="L281" t="b">
        <v>1</v>
      </c>
      <c r="M281" t="s">
        <v>1250</v>
      </c>
      <c r="P281" t="b">
        <v>0</v>
      </c>
      <c r="R281" t="str">
        <f>"9781496349620"</f>
        <v>9781496349620</v>
      </c>
      <c r="S281" t="str">
        <f>"9781496350374"</f>
        <v>9781496350374</v>
      </c>
    </row>
    <row r="282" spans="1:20" x14ac:dyDescent="0.3">
      <c r="A282">
        <v>1856777</v>
      </c>
      <c r="B282" t="s">
        <v>1251</v>
      </c>
      <c r="D282" t="s">
        <v>1252</v>
      </c>
      <c r="E282" t="s">
        <v>1253</v>
      </c>
      <c r="F282">
        <v>2016</v>
      </c>
      <c r="J282" t="s">
        <v>24</v>
      </c>
      <c r="K282" t="s">
        <v>25</v>
      </c>
      <c r="L282" t="b">
        <v>1</v>
      </c>
      <c r="M282" t="s">
        <v>1254</v>
      </c>
      <c r="P282" t="b">
        <v>0</v>
      </c>
      <c r="R282" t="str">
        <f>"9789674405182"</f>
        <v>9789674405182</v>
      </c>
      <c r="S282" t="str">
        <f>"9789674402471"</f>
        <v>9789674402471</v>
      </c>
    </row>
    <row r="283" spans="1:20" x14ac:dyDescent="0.3">
      <c r="A283">
        <v>1856773</v>
      </c>
      <c r="B283" t="s">
        <v>1255</v>
      </c>
      <c r="D283" t="s">
        <v>1252</v>
      </c>
      <c r="E283" t="s">
        <v>1253</v>
      </c>
      <c r="F283">
        <v>2015</v>
      </c>
      <c r="J283" t="s">
        <v>24</v>
      </c>
      <c r="K283" t="s">
        <v>25</v>
      </c>
      <c r="L283" t="b">
        <v>1</v>
      </c>
      <c r="M283" t="s">
        <v>1256</v>
      </c>
      <c r="P283" t="b">
        <v>0</v>
      </c>
      <c r="R283" t="str">
        <f>"9789674405144"</f>
        <v>9789674405144</v>
      </c>
      <c r="S283" t="str">
        <f>"9789674401474"</f>
        <v>9789674401474</v>
      </c>
    </row>
    <row r="284" spans="1:20" x14ac:dyDescent="0.3">
      <c r="A284">
        <v>1856766</v>
      </c>
      <c r="B284" t="s">
        <v>1257</v>
      </c>
      <c r="D284" t="s">
        <v>1252</v>
      </c>
      <c r="E284" t="s">
        <v>1253</v>
      </c>
      <c r="F284">
        <v>2016</v>
      </c>
      <c r="J284" t="s">
        <v>24</v>
      </c>
      <c r="K284" t="s">
        <v>25</v>
      </c>
      <c r="L284" t="b">
        <v>1</v>
      </c>
      <c r="M284" t="s">
        <v>1254</v>
      </c>
      <c r="P284" t="b">
        <v>0</v>
      </c>
      <c r="R284" t="str">
        <f>"9789674405076"</f>
        <v>9789674405076</v>
      </c>
      <c r="S284" t="str">
        <f>"9789674402556"</f>
        <v>9789674402556</v>
      </c>
    </row>
    <row r="285" spans="1:20" x14ac:dyDescent="0.3">
      <c r="A285">
        <v>1856764</v>
      </c>
      <c r="B285" t="s">
        <v>1258</v>
      </c>
      <c r="D285" t="s">
        <v>1252</v>
      </c>
      <c r="E285" t="s">
        <v>1253</v>
      </c>
      <c r="F285">
        <v>2016</v>
      </c>
      <c r="J285" t="s">
        <v>24</v>
      </c>
      <c r="K285" t="s">
        <v>25</v>
      </c>
      <c r="L285" t="b">
        <v>1</v>
      </c>
      <c r="M285" t="s">
        <v>1259</v>
      </c>
      <c r="P285" t="b">
        <v>0</v>
      </c>
      <c r="R285" t="str">
        <f>"9789674405052"</f>
        <v>9789674405052</v>
      </c>
      <c r="S285" t="str">
        <f>"9789674402754"</f>
        <v>9789674402754</v>
      </c>
    </row>
    <row r="286" spans="1:20" x14ac:dyDescent="0.3">
      <c r="A286">
        <v>1856073</v>
      </c>
      <c r="B286" t="s">
        <v>1260</v>
      </c>
      <c r="C286" t="s">
        <v>1261</v>
      </c>
      <c r="D286" t="s">
        <v>38</v>
      </c>
      <c r="E286" t="s">
        <v>59</v>
      </c>
      <c r="F286">
        <v>2012</v>
      </c>
      <c r="G286" t="s">
        <v>114</v>
      </c>
      <c r="H286" t="s">
        <v>1262</v>
      </c>
      <c r="I286" t="s">
        <v>1263</v>
      </c>
      <c r="J286" t="s">
        <v>24</v>
      </c>
      <c r="K286" t="s">
        <v>55</v>
      </c>
      <c r="L286" t="b">
        <v>1</v>
      </c>
      <c r="M286" t="s">
        <v>1264</v>
      </c>
      <c r="N286" t="str">
        <f>"618.20092"</f>
        <v>618.20092</v>
      </c>
      <c r="P286" t="b">
        <v>0</v>
      </c>
      <c r="R286" t="str">
        <f>"9781560852155"</f>
        <v>9781560852155</v>
      </c>
      <c r="S286" t="str">
        <f>"9781560853213"</f>
        <v>9781560853213</v>
      </c>
      <c r="T286">
        <v>1046065721</v>
      </c>
    </row>
    <row r="287" spans="1:20" x14ac:dyDescent="0.3">
      <c r="A287">
        <v>1856022</v>
      </c>
      <c r="B287" t="s">
        <v>1265</v>
      </c>
      <c r="D287" t="s">
        <v>423</v>
      </c>
      <c r="E287" t="s">
        <v>1266</v>
      </c>
      <c r="F287">
        <v>2013</v>
      </c>
      <c r="J287" t="s">
        <v>24</v>
      </c>
      <c r="K287" t="s">
        <v>25</v>
      </c>
      <c r="L287" t="b">
        <v>1</v>
      </c>
      <c r="M287" t="s">
        <v>1267</v>
      </c>
      <c r="P287" t="b">
        <v>0</v>
      </c>
      <c r="R287" t="str">
        <f>"9781841507217"</f>
        <v>9781841507217</v>
      </c>
      <c r="S287" t="str">
        <f>"9781783203116"</f>
        <v>9781783203116</v>
      </c>
    </row>
    <row r="288" spans="1:20" x14ac:dyDescent="0.3">
      <c r="A288">
        <v>1856020</v>
      </c>
      <c r="B288" t="s">
        <v>1268</v>
      </c>
      <c r="D288" t="s">
        <v>423</v>
      </c>
      <c r="E288" t="s">
        <v>1266</v>
      </c>
      <c r="F288">
        <v>2013</v>
      </c>
      <c r="J288" t="s">
        <v>24</v>
      </c>
      <c r="K288" t="s">
        <v>269</v>
      </c>
      <c r="L288" t="b">
        <v>1</v>
      </c>
      <c r="M288" t="s">
        <v>1269</v>
      </c>
      <c r="P288" t="b">
        <v>0</v>
      </c>
      <c r="R288" t="str">
        <f>"9781841505114"</f>
        <v>9781841505114</v>
      </c>
      <c r="S288" t="str">
        <f>"9781783200429"</f>
        <v>9781783200429</v>
      </c>
    </row>
    <row r="289" spans="1:20" x14ac:dyDescent="0.3">
      <c r="A289">
        <v>1854339</v>
      </c>
      <c r="B289" t="s">
        <v>1270</v>
      </c>
      <c r="C289" t="s">
        <v>1271</v>
      </c>
      <c r="D289" t="s">
        <v>1272</v>
      </c>
      <c r="E289" t="s">
        <v>1272</v>
      </c>
      <c r="F289">
        <v>2016</v>
      </c>
      <c r="G289" t="s">
        <v>136</v>
      </c>
      <c r="H289" t="s">
        <v>1273</v>
      </c>
      <c r="I289" t="s">
        <v>1274</v>
      </c>
      <c r="J289" t="s">
        <v>24</v>
      </c>
      <c r="K289" t="s">
        <v>269</v>
      </c>
      <c r="L289" t="b">
        <v>1</v>
      </c>
      <c r="M289" t="s">
        <v>1275</v>
      </c>
      <c r="N289" t="str">
        <f>"943/.00496073"</f>
        <v>943/.00496073</v>
      </c>
      <c r="O289" t="s">
        <v>1276</v>
      </c>
      <c r="P289" t="b">
        <v>0</v>
      </c>
      <c r="R289" t="str">
        <f>"9781625342300"</f>
        <v>9781625342300</v>
      </c>
      <c r="S289" t="str">
        <f>"9781613764657"</f>
        <v>9781613764657</v>
      </c>
      <c r="T289">
        <v>1012233626</v>
      </c>
    </row>
    <row r="290" spans="1:20" x14ac:dyDescent="0.3">
      <c r="A290">
        <v>1854222</v>
      </c>
      <c r="B290" t="s">
        <v>1277</v>
      </c>
      <c r="D290" t="s">
        <v>808</v>
      </c>
      <c r="E290" t="s">
        <v>809</v>
      </c>
      <c r="F290">
        <v>2016</v>
      </c>
      <c r="G290" t="s">
        <v>1278</v>
      </c>
      <c r="H290" t="s">
        <v>1279</v>
      </c>
      <c r="I290" t="s">
        <v>1280</v>
      </c>
      <c r="J290" t="s">
        <v>24</v>
      </c>
      <c r="K290" t="s">
        <v>269</v>
      </c>
      <c r="L290" t="b">
        <v>1</v>
      </c>
      <c r="M290" t="s">
        <v>1281</v>
      </c>
      <c r="N290" t="str">
        <f>"950"</f>
        <v>950</v>
      </c>
      <c r="O290" t="s">
        <v>1282</v>
      </c>
      <c r="P290" t="b">
        <v>0</v>
      </c>
      <c r="R290" t="str">
        <f>"9780748642373"</f>
        <v>9780748642373</v>
      </c>
      <c r="S290" t="str">
        <f>"9781474417402"</f>
        <v>9781474417402</v>
      </c>
      <c r="T290">
        <v>1045426617</v>
      </c>
    </row>
    <row r="291" spans="1:20" x14ac:dyDescent="0.3">
      <c r="A291">
        <v>1853321</v>
      </c>
      <c r="B291" t="s">
        <v>1283</v>
      </c>
      <c r="D291" t="s">
        <v>1011</v>
      </c>
      <c r="E291" t="s">
        <v>1011</v>
      </c>
      <c r="F291">
        <v>2013</v>
      </c>
      <c r="G291" t="s">
        <v>1284</v>
      </c>
      <c r="J291" t="s">
        <v>24</v>
      </c>
      <c r="K291" t="s">
        <v>25</v>
      </c>
      <c r="L291" t="b">
        <v>1</v>
      </c>
      <c r="M291" t="s">
        <v>1285</v>
      </c>
      <c r="P291" t="b">
        <v>0</v>
      </c>
      <c r="R291" t="str">
        <f>"9780801438127"</f>
        <v>9780801438127</v>
      </c>
      <c r="S291" t="str">
        <f>"9780801474712"</f>
        <v>9780801474712</v>
      </c>
    </row>
    <row r="292" spans="1:20" x14ac:dyDescent="0.3">
      <c r="A292">
        <v>1852790</v>
      </c>
      <c r="B292" t="s">
        <v>1286</v>
      </c>
      <c r="D292" t="s">
        <v>1011</v>
      </c>
      <c r="E292" t="s">
        <v>1287</v>
      </c>
      <c r="F292">
        <v>2016</v>
      </c>
      <c r="J292" t="s">
        <v>24</v>
      </c>
      <c r="K292" t="s">
        <v>25</v>
      </c>
      <c r="L292" t="b">
        <v>1</v>
      </c>
      <c r="M292" t="s">
        <v>1288</v>
      </c>
      <c r="P292" t="b">
        <v>0</v>
      </c>
      <c r="R292" t="str">
        <f>"9781501700620"</f>
        <v>9781501700620</v>
      </c>
      <c r="S292" t="str">
        <f>"9781501706165"</f>
        <v>9781501706165</v>
      </c>
    </row>
    <row r="293" spans="1:20" x14ac:dyDescent="0.3">
      <c r="A293">
        <v>1852789</v>
      </c>
      <c r="B293" t="s">
        <v>1289</v>
      </c>
      <c r="D293" t="s">
        <v>1011</v>
      </c>
      <c r="E293" t="s">
        <v>1287</v>
      </c>
      <c r="F293">
        <v>2016</v>
      </c>
      <c r="G293" t="s">
        <v>1290</v>
      </c>
      <c r="H293" t="s">
        <v>1291</v>
      </c>
      <c r="J293" t="s">
        <v>24</v>
      </c>
      <c r="K293" t="s">
        <v>25</v>
      </c>
      <c r="L293" t="b">
        <v>1</v>
      </c>
      <c r="M293" t="s">
        <v>1292</v>
      </c>
      <c r="N293" t="str">
        <f>"598.0981"</f>
        <v>598.0981</v>
      </c>
      <c r="O293" t="s">
        <v>1293</v>
      </c>
      <c r="P293" t="b">
        <v>0</v>
      </c>
      <c r="R293" t="str">
        <f>"9781501704536"</f>
        <v>9781501704536</v>
      </c>
      <c r="S293" t="str">
        <f>"9781501704307"</f>
        <v>9781501704307</v>
      </c>
    </row>
    <row r="294" spans="1:20" x14ac:dyDescent="0.3">
      <c r="A294">
        <v>1852778</v>
      </c>
      <c r="B294" t="s">
        <v>1294</v>
      </c>
      <c r="C294" t="s">
        <v>1295</v>
      </c>
      <c r="D294" t="s">
        <v>1011</v>
      </c>
      <c r="E294" t="s">
        <v>1011</v>
      </c>
      <c r="F294">
        <v>2010</v>
      </c>
      <c r="G294" t="s">
        <v>1296</v>
      </c>
      <c r="H294" t="s">
        <v>1297</v>
      </c>
      <c r="I294" t="s">
        <v>1298</v>
      </c>
      <c r="J294" t="s">
        <v>24</v>
      </c>
      <c r="K294" t="s">
        <v>25</v>
      </c>
      <c r="L294" t="b">
        <v>1</v>
      </c>
      <c r="M294" t="s">
        <v>1299</v>
      </c>
      <c r="N294" t="str">
        <f>"362.196/97920096"</f>
        <v>362.196/97920096</v>
      </c>
      <c r="O294" t="s">
        <v>1300</v>
      </c>
      <c r="P294" t="b">
        <v>0</v>
      </c>
      <c r="R294" t="str">
        <f>"9780801476938"</f>
        <v>9780801476938</v>
      </c>
      <c r="S294" t="str">
        <f>"9780801462320"</f>
        <v>9780801462320</v>
      </c>
      <c r="T294">
        <v>1045069131</v>
      </c>
    </row>
    <row r="295" spans="1:20" x14ac:dyDescent="0.3">
      <c r="A295">
        <v>1852777</v>
      </c>
      <c r="B295" t="s">
        <v>1301</v>
      </c>
      <c r="C295" t="s">
        <v>1302</v>
      </c>
      <c r="D295" t="s">
        <v>1011</v>
      </c>
      <c r="E295" t="s">
        <v>1011</v>
      </c>
      <c r="F295">
        <v>2008</v>
      </c>
      <c r="G295" t="s">
        <v>1046</v>
      </c>
      <c r="H295" t="s">
        <v>1303</v>
      </c>
      <c r="I295" t="s">
        <v>1304</v>
      </c>
      <c r="J295" t="s">
        <v>24</v>
      </c>
      <c r="K295" t="s">
        <v>25</v>
      </c>
      <c r="L295" t="b">
        <v>1</v>
      </c>
      <c r="M295" t="s">
        <v>1305</v>
      </c>
      <c r="N295" t="str">
        <f>"300.947/09041"</f>
        <v>300.947/09041</v>
      </c>
      <c r="P295" t="b">
        <v>0</v>
      </c>
      <c r="R295" t="str">
        <f>"9780801446276"</f>
        <v>9780801446276</v>
      </c>
      <c r="S295" t="str">
        <f>"9780801468476"</f>
        <v>9780801468476</v>
      </c>
      <c r="T295">
        <v>798794093</v>
      </c>
    </row>
    <row r="296" spans="1:20" x14ac:dyDescent="0.3">
      <c r="A296">
        <v>1852776</v>
      </c>
      <c r="B296" t="s">
        <v>1306</v>
      </c>
      <c r="C296" t="s">
        <v>1307</v>
      </c>
      <c r="D296" t="s">
        <v>1011</v>
      </c>
      <c r="E296" t="s">
        <v>1011</v>
      </c>
      <c r="F296">
        <v>2007</v>
      </c>
      <c r="G296" t="s">
        <v>145</v>
      </c>
      <c r="H296" t="s">
        <v>1308</v>
      </c>
      <c r="I296" t="s">
        <v>1309</v>
      </c>
      <c r="J296" t="s">
        <v>24</v>
      </c>
      <c r="K296" t="s">
        <v>25</v>
      </c>
      <c r="L296" t="b">
        <v>1</v>
      </c>
      <c r="M296" t="s">
        <v>1310</v>
      </c>
      <c r="N296" t="str">
        <f>"820.9/28209031"</f>
        <v>820.9/28209031</v>
      </c>
      <c r="P296" t="b">
        <v>0</v>
      </c>
      <c r="R296" t="str">
        <f>"9780801443992"</f>
        <v>9780801443992</v>
      </c>
      <c r="S296" t="str">
        <f>"9780801463556"</f>
        <v>9780801463556</v>
      </c>
      <c r="T296">
        <v>732957082</v>
      </c>
    </row>
    <row r="297" spans="1:20" x14ac:dyDescent="0.3">
      <c r="A297">
        <v>1852775</v>
      </c>
      <c r="B297" t="s">
        <v>1311</v>
      </c>
      <c r="C297" t="s">
        <v>1312</v>
      </c>
      <c r="D297" t="s">
        <v>1011</v>
      </c>
      <c r="E297" t="s">
        <v>1011</v>
      </c>
      <c r="F297">
        <v>2007</v>
      </c>
      <c r="G297" t="s">
        <v>1313</v>
      </c>
      <c r="H297" t="s">
        <v>1314</v>
      </c>
      <c r="I297" t="s">
        <v>1315</v>
      </c>
      <c r="J297" t="s">
        <v>24</v>
      </c>
      <c r="K297" t="s">
        <v>25</v>
      </c>
      <c r="L297" t="b">
        <v>1</v>
      </c>
      <c r="M297" t="s">
        <v>1316</v>
      </c>
      <c r="N297" t="str">
        <f>"822/.3"</f>
        <v>822/.3</v>
      </c>
      <c r="P297" t="b">
        <v>0</v>
      </c>
      <c r="R297" t="str">
        <f>"9780801445194"</f>
        <v>9780801445194</v>
      </c>
      <c r="S297" t="str">
        <f>"9780801463549"</f>
        <v>9780801463549</v>
      </c>
      <c r="T297">
        <v>732957119</v>
      </c>
    </row>
    <row r="298" spans="1:20" x14ac:dyDescent="0.3">
      <c r="A298">
        <v>1852772</v>
      </c>
      <c r="B298" t="s">
        <v>1317</v>
      </c>
      <c r="C298" t="s">
        <v>1318</v>
      </c>
      <c r="D298" t="s">
        <v>1011</v>
      </c>
      <c r="E298" t="s">
        <v>1011</v>
      </c>
      <c r="F298">
        <v>2009</v>
      </c>
      <c r="G298" t="s">
        <v>1319</v>
      </c>
      <c r="H298" t="s">
        <v>1320</v>
      </c>
      <c r="I298" t="s">
        <v>1321</v>
      </c>
      <c r="J298" t="s">
        <v>24</v>
      </c>
      <c r="K298" t="s">
        <v>25</v>
      </c>
      <c r="L298" t="b">
        <v>1</v>
      </c>
      <c r="M298" t="s">
        <v>1322</v>
      </c>
      <c r="N298" t="str">
        <f>"331.12/042"</f>
        <v>331.12/042</v>
      </c>
      <c r="P298" t="b">
        <v>0</v>
      </c>
      <c r="R298" t="str">
        <f>"9780801447778"</f>
        <v>9780801447778</v>
      </c>
      <c r="S298" t="str">
        <f>"9780801462566"</f>
        <v>9780801462566</v>
      </c>
      <c r="T298">
        <v>732957174</v>
      </c>
    </row>
    <row r="299" spans="1:20" x14ac:dyDescent="0.3">
      <c r="A299">
        <v>1852771</v>
      </c>
      <c r="B299" t="s">
        <v>1323</v>
      </c>
      <c r="C299" t="s">
        <v>1324</v>
      </c>
      <c r="D299" t="s">
        <v>1011</v>
      </c>
      <c r="E299" t="s">
        <v>1011</v>
      </c>
      <c r="F299">
        <v>2008</v>
      </c>
      <c r="G299" t="s">
        <v>1325</v>
      </c>
      <c r="H299" t="s">
        <v>1326</v>
      </c>
      <c r="I299" t="s">
        <v>1327</v>
      </c>
      <c r="J299" t="s">
        <v>24</v>
      </c>
      <c r="K299" t="s">
        <v>25</v>
      </c>
      <c r="L299" t="b">
        <v>1</v>
      </c>
      <c r="M299" t="s">
        <v>1328</v>
      </c>
      <c r="N299" t="str">
        <f>"810.9/384"</f>
        <v>810.9/384</v>
      </c>
      <c r="P299" t="b">
        <v>0</v>
      </c>
      <c r="R299" t="str">
        <f>"9780801446788"</f>
        <v>9780801446788</v>
      </c>
      <c r="S299" t="str">
        <f>"9780801462474"</f>
        <v>9780801462474</v>
      </c>
      <c r="T299">
        <v>732957134</v>
      </c>
    </row>
    <row r="300" spans="1:20" x14ac:dyDescent="0.3">
      <c r="A300">
        <v>1852770</v>
      </c>
      <c r="B300" t="s">
        <v>1329</v>
      </c>
      <c r="C300" t="s">
        <v>1330</v>
      </c>
      <c r="D300" t="s">
        <v>1011</v>
      </c>
      <c r="E300" t="s">
        <v>1011</v>
      </c>
      <c r="F300">
        <v>2007</v>
      </c>
      <c r="G300" t="s">
        <v>1319</v>
      </c>
      <c r="H300" t="s">
        <v>1331</v>
      </c>
      <c r="I300" t="s">
        <v>1332</v>
      </c>
      <c r="J300" t="s">
        <v>24</v>
      </c>
      <c r="K300" t="s">
        <v>25</v>
      </c>
      <c r="L300" t="b">
        <v>1</v>
      </c>
      <c r="M300" t="s">
        <v>1333</v>
      </c>
      <c r="N300" t="str">
        <f>"338.6"</f>
        <v>338.6</v>
      </c>
      <c r="O300" t="s">
        <v>1334</v>
      </c>
      <c r="P300" t="b">
        <v>0</v>
      </c>
      <c r="R300" t="str">
        <f>"9780801445934"</f>
        <v>9780801445934</v>
      </c>
      <c r="S300" t="str">
        <f>"9780801462443"</f>
        <v>9780801462443</v>
      </c>
      <c r="T300">
        <v>732957093</v>
      </c>
    </row>
    <row r="301" spans="1:20" x14ac:dyDescent="0.3">
      <c r="A301">
        <v>1852768</v>
      </c>
      <c r="B301" t="s">
        <v>1335</v>
      </c>
      <c r="C301" t="s">
        <v>1336</v>
      </c>
      <c r="D301" t="s">
        <v>1011</v>
      </c>
      <c r="E301" t="s">
        <v>1011</v>
      </c>
      <c r="F301">
        <v>2010</v>
      </c>
      <c r="G301" t="s">
        <v>145</v>
      </c>
      <c r="H301" t="s">
        <v>1337</v>
      </c>
      <c r="I301" t="s">
        <v>1338</v>
      </c>
      <c r="J301" t="s">
        <v>24</v>
      </c>
      <c r="K301" t="s">
        <v>25</v>
      </c>
      <c r="L301" t="b">
        <v>1</v>
      </c>
      <c r="M301" t="s">
        <v>1339</v>
      </c>
      <c r="N301" t="str">
        <f>"823/.8093561"</f>
        <v>823/.8093561</v>
      </c>
      <c r="P301" t="b">
        <v>0</v>
      </c>
      <c r="R301" t="str">
        <f>"9780801449307"</f>
        <v>9780801449307</v>
      </c>
      <c r="S301" t="str">
        <f>"9780801462382"</f>
        <v>9780801462382</v>
      </c>
      <c r="T301">
        <v>732957111</v>
      </c>
    </row>
    <row r="302" spans="1:20" x14ac:dyDescent="0.3">
      <c r="A302">
        <v>1852767</v>
      </c>
      <c r="B302" t="s">
        <v>1340</v>
      </c>
      <c r="C302" t="s">
        <v>1341</v>
      </c>
      <c r="D302" t="s">
        <v>1011</v>
      </c>
      <c r="E302" t="s">
        <v>1012</v>
      </c>
      <c r="F302">
        <v>2007</v>
      </c>
      <c r="G302" t="s">
        <v>1342</v>
      </c>
      <c r="H302" t="s">
        <v>1343</v>
      </c>
      <c r="I302" t="s">
        <v>1344</v>
      </c>
      <c r="J302" t="s">
        <v>24</v>
      </c>
      <c r="K302" t="s">
        <v>25</v>
      </c>
      <c r="L302" t="b">
        <v>1</v>
      </c>
      <c r="M302" t="s">
        <v>1345</v>
      </c>
      <c r="N302" t="str">
        <f>"344.569401"</f>
        <v>344.569401</v>
      </c>
      <c r="P302" t="b">
        <v>0</v>
      </c>
      <c r="R302" t="str">
        <f>"9780801446009"</f>
        <v>9780801446009</v>
      </c>
      <c r="S302" t="str">
        <f>"9780801461736"</f>
        <v>9780801461736</v>
      </c>
      <c r="T302">
        <v>732957142</v>
      </c>
    </row>
    <row r="303" spans="1:20" x14ac:dyDescent="0.3">
      <c r="A303">
        <v>1852765</v>
      </c>
      <c r="B303" t="s">
        <v>1346</v>
      </c>
      <c r="C303" t="s">
        <v>1347</v>
      </c>
      <c r="D303" t="s">
        <v>1011</v>
      </c>
      <c r="E303" t="s">
        <v>1011</v>
      </c>
      <c r="F303">
        <v>2010</v>
      </c>
      <c r="G303" t="s">
        <v>1319</v>
      </c>
      <c r="H303" t="s">
        <v>1348</v>
      </c>
      <c r="I303" t="s">
        <v>1349</v>
      </c>
      <c r="J303" t="s">
        <v>24</v>
      </c>
      <c r="K303" t="s">
        <v>25</v>
      </c>
      <c r="L303" t="b">
        <v>1</v>
      </c>
      <c r="M303" t="s">
        <v>1350</v>
      </c>
      <c r="N303" t="str">
        <f>"338.60943"</f>
        <v>338.60943</v>
      </c>
      <c r="O303" t="s">
        <v>1334</v>
      </c>
      <c r="P303" t="b">
        <v>0</v>
      </c>
      <c r="R303" t="str">
        <f>"9780801449048"</f>
        <v>9780801449048</v>
      </c>
      <c r="S303" t="str">
        <f>"9780801460326"</f>
        <v>9780801460326</v>
      </c>
      <c r="T303">
        <v>726824262</v>
      </c>
    </row>
    <row r="304" spans="1:20" x14ac:dyDescent="0.3">
      <c r="A304">
        <v>1852764</v>
      </c>
      <c r="B304" t="s">
        <v>1351</v>
      </c>
      <c r="C304" t="s">
        <v>1352</v>
      </c>
      <c r="D304" t="s">
        <v>1011</v>
      </c>
      <c r="E304" t="s">
        <v>1011</v>
      </c>
      <c r="F304">
        <v>2008</v>
      </c>
      <c r="G304" t="s">
        <v>1353</v>
      </c>
      <c r="H304" t="s">
        <v>1354</v>
      </c>
      <c r="I304" t="s">
        <v>1355</v>
      </c>
      <c r="J304" t="s">
        <v>24</v>
      </c>
      <c r="K304" t="s">
        <v>25</v>
      </c>
      <c r="L304" t="b">
        <v>1</v>
      </c>
      <c r="M304" t="s">
        <v>1356</v>
      </c>
      <c r="N304" t="str">
        <f>"346.7301/7"</f>
        <v>346.7301/7</v>
      </c>
      <c r="P304" t="b">
        <v>0</v>
      </c>
      <c r="R304" t="str">
        <f>"9780801446900"</f>
        <v>9780801446900</v>
      </c>
      <c r="S304" t="str">
        <f>"9780801460128"</f>
        <v>9780801460128</v>
      </c>
      <c r="T304">
        <v>726824353</v>
      </c>
    </row>
    <row r="305" spans="1:20" x14ac:dyDescent="0.3">
      <c r="A305">
        <v>1852763</v>
      </c>
      <c r="B305" t="s">
        <v>1357</v>
      </c>
      <c r="C305" t="s">
        <v>1358</v>
      </c>
      <c r="D305" t="s">
        <v>1011</v>
      </c>
      <c r="E305" t="s">
        <v>1011</v>
      </c>
      <c r="F305">
        <v>2010</v>
      </c>
      <c r="G305" t="s">
        <v>753</v>
      </c>
      <c r="H305" t="s">
        <v>1359</v>
      </c>
      <c r="I305" t="s">
        <v>1360</v>
      </c>
      <c r="J305" t="s">
        <v>24</v>
      </c>
      <c r="K305" t="s">
        <v>25</v>
      </c>
      <c r="L305" t="b">
        <v>1</v>
      </c>
      <c r="M305" t="s">
        <v>1361</v>
      </c>
      <c r="N305" t="str">
        <f>"320.8/5097409034"</f>
        <v>320.8/5097409034</v>
      </c>
      <c r="P305" t="b">
        <v>0</v>
      </c>
      <c r="R305" t="str">
        <f>"9780801441912"</f>
        <v>9780801441912</v>
      </c>
      <c r="S305" t="str">
        <f>"9780801461552"</f>
        <v>9780801461552</v>
      </c>
      <c r="T305">
        <v>732956587</v>
      </c>
    </row>
    <row r="306" spans="1:20" x14ac:dyDescent="0.3">
      <c r="A306">
        <v>1851422</v>
      </c>
      <c r="B306" t="s">
        <v>1362</v>
      </c>
      <c r="D306" t="s">
        <v>1363</v>
      </c>
      <c r="E306" t="s">
        <v>1364</v>
      </c>
      <c r="F306">
        <v>2015</v>
      </c>
      <c r="J306" t="s">
        <v>24</v>
      </c>
      <c r="K306" t="s">
        <v>25</v>
      </c>
      <c r="L306" t="b">
        <v>1</v>
      </c>
      <c r="M306" t="s">
        <v>1365</v>
      </c>
      <c r="P306" t="b">
        <v>0</v>
      </c>
      <c r="R306" t="str">
        <f>"9788776941703"</f>
        <v>9788776941703</v>
      </c>
      <c r="S306" t="str">
        <f>"9788776946708"</f>
        <v>9788776946708</v>
      </c>
    </row>
    <row r="307" spans="1:20" x14ac:dyDescent="0.3">
      <c r="A307">
        <v>1851415</v>
      </c>
      <c r="B307" t="s">
        <v>1366</v>
      </c>
      <c r="D307" t="s">
        <v>1363</v>
      </c>
      <c r="E307" t="s">
        <v>1364</v>
      </c>
      <c r="F307">
        <v>2012</v>
      </c>
      <c r="J307" t="s">
        <v>24</v>
      </c>
      <c r="K307" t="s">
        <v>25</v>
      </c>
      <c r="L307" t="b">
        <v>1</v>
      </c>
      <c r="M307" t="s">
        <v>1367</v>
      </c>
      <c r="P307" t="b">
        <v>0</v>
      </c>
      <c r="R307" t="str">
        <f>"9788776941079"</f>
        <v>9788776941079</v>
      </c>
      <c r="S307" t="str">
        <f>"9788776946890"</f>
        <v>9788776946890</v>
      </c>
    </row>
    <row r="308" spans="1:20" x14ac:dyDescent="0.3">
      <c r="A308">
        <v>1851414</v>
      </c>
      <c r="B308" t="s">
        <v>1368</v>
      </c>
      <c r="D308" t="s">
        <v>1363</v>
      </c>
      <c r="E308" t="s">
        <v>1364</v>
      </c>
      <c r="F308">
        <v>2013</v>
      </c>
      <c r="J308" t="s">
        <v>24</v>
      </c>
      <c r="K308" t="s">
        <v>25</v>
      </c>
      <c r="L308" t="b">
        <v>1</v>
      </c>
      <c r="M308" t="s">
        <v>1369</v>
      </c>
      <c r="P308" t="b">
        <v>0</v>
      </c>
      <c r="R308" t="str">
        <f>"9788776941093"</f>
        <v>9788776941093</v>
      </c>
      <c r="S308" t="str">
        <f>"9788776946791"</f>
        <v>9788776946791</v>
      </c>
    </row>
    <row r="309" spans="1:20" x14ac:dyDescent="0.3">
      <c r="A309">
        <v>1851413</v>
      </c>
      <c r="B309" t="s">
        <v>1370</v>
      </c>
      <c r="D309" t="s">
        <v>1363</v>
      </c>
      <c r="E309" t="s">
        <v>1364</v>
      </c>
      <c r="F309">
        <v>2013</v>
      </c>
      <c r="J309" t="s">
        <v>24</v>
      </c>
      <c r="K309" t="s">
        <v>25</v>
      </c>
      <c r="L309" t="b">
        <v>1</v>
      </c>
      <c r="M309" t="s">
        <v>1371</v>
      </c>
      <c r="P309" t="b">
        <v>0</v>
      </c>
      <c r="R309" t="str">
        <f>"9788776941154"</f>
        <v>9788776941154</v>
      </c>
      <c r="S309" t="str">
        <f>"9788776946234"</f>
        <v>9788776946234</v>
      </c>
    </row>
    <row r="310" spans="1:20" x14ac:dyDescent="0.3">
      <c r="A310">
        <v>1851412</v>
      </c>
      <c r="B310" t="s">
        <v>1372</v>
      </c>
      <c r="D310" t="s">
        <v>1363</v>
      </c>
      <c r="E310" t="s">
        <v>1364</v>
      </c>
      <c r="F310">
        <v>2013</v>
      </c>
      <c r="J310" t="s">
        <v>24</v>
      </c>
      <c r="K310" t="s">
        <v>25</v>
      </c>
      <c r="L310" t="b">
        <v>1</v>
      </c>
      <c r="M310" t="s">
        <v>1373</v>
      </c>
      <c r="P310" t="b">
        <v>0</v>
      </c>
      <c r="R310" t="str">
        <f>"9788776941260"</f>
        <v>9788776941260</v>
      </c>
      <c r="S310" t="str">
        <f>"9788776946883"</f>
        <v>9788776946883</v>
      </c>
    </row>
    <row r="311" spans="1:20" x14ac:dyDescent="0.3">
      <c r="A311">
        <v>1851411</v>
      </c>
      <c r="B311" t="s">
        <v>1374</v>
      </c>
      <c r="D311" t="s">
        <v>1363</v>
      </c>
      <c r="E311" t="s">
        <v>1375</v>
      </c>
      <c r="F311">
        <v>2013</v>
      </c>
      <c r="J311" t="s">
        <v>24</v>
      </c>
      <c r="K311" t="s">
        <v>25</v>
      </c>
      <c r="L311" t="b">
        <v>1</v>
      </c>
      <c r="M311" t="s">
        <v>1376</v>
      </c>
      <c r="P311" t="b">
        <v>0</v>
      </c>
      <c r="R311" t="str">
        <f>"9788776941253"</f>
        <v>9788776941253</v>
      </c>
      <c r="S311" t="str">
        <f>"9788776946876"</f>
        <v>9788776946876</v>
      </c>
    </row>
    <row r="312" spans="1:20" x14ac:dyDescent="0.3">
      <c r="A312">
        <v>1851410</v>
      </c>
      <c r="B312" t="s">
        <v>1377</v>
      </c>
      <c r="C312" t="s">
        <v>1378</v>
      </c>
      <c r="D312" t="s">
        <v>1363</v>
      </c>
      <c r="E312" t="s">
        <v>1364</v>
      </c>
      <c r="F312">
        <v>2013</v>
      </c>
      <c r="H312" t="s">
        <v>1379</v>
      </c>
      <c r="I312" t="s">
        <v>1380</v>
      </c>
      <c r="J312" t="s">
        <v>24</v>
      </c>
      <c r="K312" t="s">
        <v>25</v>
      </c>
      <c r="L312" t="b">
        <v>1</v>
      </c>
      <c r="M312" t="s">
        <v>1381</v>
      </c>
      <c r="N312" t="str">
        <f>"952.03"</f>
        <v>952.03</v>
      </c>
      <c r="O312" t="s">
        <v>1382</v>
      </c>
      <c r="P312" t="b">
        <v>0</v>
      </c>
      <c r="R312" t="str">
        <f>"9788776941185"</f>
        <v>9788776941185</v>
      </c>
      <c r="S312" t="str">
        <f>"9788776946852"</f>
        <v>9788776946852</v>
      </c>
      <c r="T312">
        <v>1046070354</v>
      </c>
    </row>
    <row r="313" spans="1:20" x14ac:dyDescent="0.3">
      <c r="A313">
        <v>1851409</v>
      </c>
      <c r="B313" t="s">
        <v>1383</v>
      </c>
      <c r="D313" t="s">
        <v>1363</v>
      </c>
      <c r="E313" t="s">
        <v>1364</v>
      </c>
      <c r="F313">
        <v>2013</v>
      </c>
      <c r="J313" t="s">
        <v>24</v>
      </c>
      <c r="K313" t="s">
        <v>25</v>
      </c>
      <c r="L313" t="b">
        <v>1</v>
      </c>
      <c r="M313" t="s">
        <v>1384</v>
      </c>
      <c r="P313" t="b">
        <v>0</v>
      </c>
      <c r="R313" t="str">
        <f>"9788776941208"</f>
        <v>9788776941208</v>
      </c>
      <c r="S313" t="str">
        <f>"9788776946845"</f>
        <v>9788776946845</v>
      </c>
    </row>
    <row r="314" spans="1:20" x14ac:dyDescent="0.3">
      <c r="A314">
        <v>1851408</v>
      </c>
      <c r="B314" t="s">
        <v>1385</v>
      </c>
      <c r="D314" t="s">
        <v>1363</v>
      </c>
      <c r="E314" t="s">
        <v>1364</v>
      </c>
      <c r="F314">
        <v>2013</v>
      </c>
      <c r="J314" t="s">
        <v>24</v>
      </c>
      <c r="K314" t="s">
        <v>25</v>
      </c>
      <c r="L314" t="b">
        <v>1</v>
      </c>
      <c r="M314" t="s">
        <v>1386</v>
      </c>
      <c r="P314" t="b">
        <v>0</v>
      </c>
      <c r="R314" t="str">
        <f>"9788776941284"</f>
        <v>9788776941284</v>
      </c>
      <c r="S314" t="str">
        <f>"9788776946838"</f>
        <v>9788776946838</v>
      </c>
    </row>
    <row r="315" spans="1:20" x14ac:dyDescent="0.3">
      <c r="A315">
        <v>1851407</v>
      </c>
      <c r="B315" t="s">
        <v>1387</v>
      </c>
      <c r="D315" t="s">
        <v>1363</v>
      </c>
      <c r="E315" t="s">
        <v>1364</v>
      </c>
      <c r="F315">
        <v>2014</v>
      </c>
      <c r="J315" t="s">
        <v>24</v>
      </c>
      <c r="K315" t="s">
        <v>25</v>
      </c>
      <c r="L315" t="b">
        <v>1</v>
      </c>
      <c r="M315" t="s">
        <v>1388</v>
      </c>
      <c r="P315" t="b">
        <v>0</v>
      </c>
      <c r="R315" t="str">
        <f>"9788776941383"</f>
        <v>9788776941383</v>
      </c>
      <c r="S315" t="str">
        <f>"9788776946821"</f>
        <v>9788776946821</v>
      </c>
    </row>
    <row r="316" spans="1:20" x14ac:dyDescent="0.3">
      <c r="A316">
        <v>1851406</v>
      </c>
      <c r="B316" t="s">
        <v>1389</v>
      </c>
      <c r="C316" t="s">
        <v>1390</v>
      </c>
      <c r="D316" t="s">
        <v>1363</v>
      </c>
      <c r="E316" t="s">
        <v>1364</v>
      </c>
      <c r="F316">
        <v>2014</v>
      </c>
      <c r="G316" t="s">
        <v>1391</v>
      </c>
      <c r="H316" t="s">
        <v>1392</v>
      </c>
      <c r="I316" t="s">
        <v>1393</v>
      </c>
      <c r="J316" t="s">
        <v>24</v>
      </c>
      <c r="K316" t="s">
        <v>25</v>
      </c>
      <c r="L316" t="b">
        <v>1</v>
      </c>
      <c r="M316" t="s">
        <v>1394</v>
      </c>
      <c r="N316" t="str">
        <f>"338.951"</f>
        <v>338.951</v>
      </c>
      <c r="O316" t="s">
        <v>1395</v>
      </c>
      <c r="P316" t="b">
        <v>0</v>
      </c>
      <c r="R316" t="str">
        <f>"9788776941420"</f>
        <v>9788776941420</v>
      </c>
      <c r="S316" t="str">
        <f>"9788776946814"</f>
        <v>9788776946814</v>
      </c>
      <c r="T316">
        <v>1046071931</v>
      </c>
    </row>
    <row r="317" spans="1:20" x14ac:dyDescent="0.3">
      <c r="A317">
        <v>1851405</v>
      </c>
      <c r="B317" t="s">
        <v>1396</v>
      </c>
      <c r="C317" t="s">
        <v>1397</v>
      </c>
      <c r="D317" t="s">
        <v>1363</v>
      </c>
      <c r="E317" t="s">
        <v>1364</v>
      </c>
      <c r="F317">
        <v>2014</v>
      </c>
      <c r="G317" t="s">
        <v>1398</v>
      </c>
      <c r="H317" t="s">
        <v>1399</v>
      </c>
      <c r="I317" t="s">
        <v>1400</v>
      </c>
      <c r="J317" t="s">
        <v>24</v>
      </c>
      <c r="K317" t="s">
        <v>25</v>
      </c>
      <c r="L317" t="b">
        <v>1</v>
      </c>
      <c r="M317" t="s">
        <v>1401</v>
      </c>
      <c r="N317" t="str">
        <f>"305.409597"</f>
        <v>305.409597</v>
      </c>
      <c r="O317" t="s">
        <v>1402</v>
      </c>
      <c r="P317" t="b">
        <v>0</v>
      </c>
      <c r="R317" t="str">
        <f>"9788776941468"</f>
        <v>9788776941468</v>
      </c>
      <c r="S317" t="str">
        <f>"9788776946807"</f>
        <v>9788776946807</v>
      </c>
      <c r="T317">
        <v>1010139835</v>
      </c>
    </row>
    <row r="318" spans="1:20" x14ac:dyDescent="0.3">
      <c r="A318">
        <v>1851404</v>
      </c>
      <c r="B318" t="s">
        <v>1403</v>
      </c>
      <c r="D318" t="s">
        <v>1363</v>
      </c>
      <c r="E318" t="s">
        <v>1364</v>
      </c>
      <c r="F318">
        <v>2014</v>
      </c>
      <c r="J318" t="s">
        <v>24</v>
      </c>
      <c r="K318" t="s">
        <v>25</v>
      </c>
      <c r="L318" t="b">
        <v>1</v>
      </c>
      <c r="M318" t="s">
        <v>1404</v>
      </c>
      <c r="P318" t="b">
        <v>0</v>
      </c>
      <c r="R318" t="str">
        <f>"9788776941130"</f>
        <v>9788776941130</v>
      </c>
      <c r="S318" t="str">
        <f>"9788776946227"</f>
        <v>9788776946227</v>
      </c>
    </row>
    <row r="319" spans="1:20" x14ac:dyDescent="0.3">
      <c r="A319">
        <v>1851403</v>
      </c>
      <c r="B319" t="s">
        <v>1405</v>
      </c>
      <c r="D319" t="s">
        <v>1363</v>
      </c>
      <c r="E319" t="s">
        <v>1364</v>
      </c>
      <c r="F319">
        <v>2014</v>
      </c>
      <c r="J319" t="s">
        <v>24</v>
      </c>
      <c r="K319" t="s">
        <v>25</v>
      </c>
      <c r="L319" t="b">
        <v>1</v>
      </c>
      <c r="M319" t="s">
        <v>1406</v>
      </c>
      <c r="P319" t="b">
        <v>0</v>
      </c>
      <c r="R319" t="str">
        <f>"9788776941314"</f>
        <v>9788776941314</v>
      </c>
      <c r="S319" t="str">
        <f>"9788776946784"</f>
        <v>9788776946784</v>
      </c>
    </row>
    <row r="320" spans="1:20" x14ac:dyDescent="0.3">
      <c r="A320">
        <v>1851402</v>
      </c>
      <c r="B320" t="s">
        <v>1407</v>
      </c>
      <c r="D320" t="s">
        <v>1363</v>
      </c>
      <c r="E320" t="s">
        <v>1364</v>
      </c>
      <c r="F320">
        <v>2014</v>
      </c>
      <c r="J320" t="s">
        <v>24</v>
      </c>
      <c r="K320" t="s">
        <v>25</v>
      </c>
      <c r="L320" t="b">
        <v>1</v>
      </c>
      <c r="M320" t="s">
        <v>1408</v>
      </c>
      <c r="P320" t="b">
        <v>0</v>
      </c>
      <c r="R320" t="str">
        <f>"9788776941307"</f>
        <v>9788776941307</v>
      </c>
      <c r="S320" t="str">
        <f>"9788776946777"</f>
        <v>9788776946777</v>
      </c>
    </row>
    <row r="321" spans="1:20" x14ac:dyDescent="0.3">
      <c r="A321">
        <v>1851398</v>
      </c>
      <c r="B321" t="s">
        <v>1409</v>
      </c>
      <c r="D321" t="s">
        <v>1363</v>
      </c>
      <c r="E321" t="s">
        <v>1364</v>
      </c>
      <c r="F321">
        <v>2014</v>
      </c>
      <c r="J321" t="s">
        <v>24</v>
      </c>
      <c r="K321" t="s">
        <v>25</v>
      </c>
      <c r="L321" t="b">
        <v>1</v>
      </c>
      <c r="M321" t="s">
        <v>1410</v>
      </c>
      <c r="P321" t="b">
        <v>0</v>
      </c>
      <c r="R321" t="str">
        <f>"9788776941444"</f>
        <v>9788776941444</v>
      </c>
      <c r="S321" t="str">
        <f>"9788776946739"</f>
        <v>9788776946739</v>
      </c>
    </row>
    <row r="322" spans="1:20" x14ac:dyDescent="0.3">
      <c r="A322">
        <v>1851397</v>
      </c>
      <c r="B322" t="s">
        <v>1411</v>
      </c>
      <c r="D322" t="s">
        <v>1363</v>
      </c>
      <c r="E322" t="s">
        <v>1364</v>
      </c>
      <c r="F322">
        <v>2015</v>
      </c>
      <c r="J322" t="s">
        <v>24</v>
      </c>
      <c r="K322" t="s">
        <v>25</v>
      </c>
      <c r="L322" t="b">
        <v>1</v>
      </c>
      <c r="M322" t="s">
        <v>1412</v>
      </c>
      <c r="P322" t="b">
        <v>0</v>
      </c>
      <c r="R322" t="str">
        <f>"9788776941642"</f>
        <v>9788776941642</v>
      </c>
      <c r="S322" t="str">
        <f>"9788776946715"</f>
        <v>9788776946715</v>
      </c>
    </row>
    <row r="323" spans="1:20" x14ac:dyDescent="0.3">
      <c r="A323">
        <v>1851396</v>
      </c>
      <c r="B323" t="s">
        <v>1413</v>
      </c>
      <c r="C323" t="s">
        <v>1414</v>
      </c>
      <c r="D323" t="s">
        <v>1363</v>
      </c>
      <c r="E323" t="s">
        <v>1364</v>
      </c>
      <c r="F323">
        <v>2015</v>
      </c>
      <c r="G323" t="s">
        <v>1415</v>
      </c>
      <c r="H323" t="s">
        <v>1416</v>
      </c>
      <c r="I323" t="s">
        <v>1417</v>
      </c>
      <c r="J323" t="s">
        <v>24</v>
      </c>
      <c r="K323" t="s">
        <v>25</v>
      </c>
      <c r="L323" t="b">
        <v>1</v>
      </c>
      <c r="M323" t="s">
        <v>1418</v>
      </c>
      <c r="N323" t="str">
        <f>"306.760951"</f>
        <v>306.760951</v>
      </c>
      <c r="O323" t="s">
        <v>1402</v>
      </c>
      <c r="P323" t="b">
        <v>0</v>
      </c>
      <c r="R323" t="str">
        <f>"9788776941550"</f>
        <v>9788776941550</v>
      </c>
      <c r="S323" t="str">
        <f>"9788776946685"</f>
        <v>9788776946685</v>
      </c>
      <c r="T323">
        <v>1046071981</v>
      </c>
    </row>
    <row r="324" spans="1:20" x14ac:dyDescent="0.3">
      <c r="A324">
        <v>1851395</v>
      </c>
      <c r="B324" t="s">
        <v>1419</v>
      </c>
      <c r="D324" t="s">
        <v>1363</v>
      </c>
      <c r="E324" t="s">
        <v>1364</v>
      </c>
      <c r="F324">
        <v>2015</v>
      </c>
      <c r="J324" t="s">
        <v>24</v>
      </c>
      <c r="K324" t="s">
        <v>25</v>
      </c>
      <c r="L324" t="b">
        <v>1</v>
      </c>
      <c r="M324" t="s">
        <v>1420</v>
      </c>
      <c r="P324" t="b">
        <v>0</v>
      </c>
      <c r="R324" t="str">
        <f>"9788776941741"</f>
        <v>9788776941741</v>
      </c>
      <c r="S324" t="str">
        <f>"9788776946678"</f>
        <v>9788776946678</v>
      </c>
    </row>
    <row r="325" spans="1:20" x14ac:dyDescent="0.3">
      <c r="A325">
        <v>1851392</v>
      </c>
      <c r="B325" t="s">
        <v>1421</v>
      </c>
      <c r="D325" t="s">
        <v>1363</v>
      </c>
      <c r="E325" t="s">
        <v>1364</v>
      </c>
      <c r="F325">
        <v>2015</v>
      </c>
      <c r="J325" t="s">
        <v>24</v>
      </c>
      <c r="K325" t="s">
        <v>25</v>
      </c>
      <c r="L325" t="b">
        <v>1</v>
      </c>
      <c r="M325" t="s">
        <v>1422</v>
      </c>
      <c r="P325" t="b">
        <v>0</v>
      </c>
      <c r="R325" t="str">
        <f>"9788776941611"</f>
        <v>9788776941611</v>
      </c>
      <c r="S325" t="str">
        <f>"9788776946647"</f>
        <v>9788776946647</v>
      </c>
    </row>
    <row r="326" spans="1:20" x14ac:dyDescent="0.3">
      <c r="A326">
        <v>1851391</v>
      </c>
      <c r="B326" t="s">
        <v>1423</v>
      </c>
      <c r="C326" t="s">
        <v>1424</v>
      </c>
      <c r="D326" t="s">
        <v>1363</v>
      </c>
      <c r="E326" t="s">
        <v>1364</v>
      </c>
      <c r="F326">
        <v>2016</v>
      </c>
      <c r="G326" t="s">
        <v>1415</v>
      </c>
      <c r="H326" t="s">
        <v>1425</v>
      </c>
      <c r="I326" t="s">
        <v>1426</v>
      </c>
      <c r="J326" t="s">
        <v>24</v>
      </c>
      <c r="K326" t="s">
        <v>25</v>
      </c>
      <c r="L326" t="b">
        <v>1</v>
      </c>
      <c r="M326" t="s">
        <v>1427</v>
      </c>
      <c r="N326" t="str">
        <f>"306.34909597"</f>
        <v>306.34909597</v>
      </c>
      <c r="O326" t="s">
        <v>1402</v>
      </c>
      <c r="P326" t="b">
        <v>0</v>
      </c>
      <c r="R326" t="str">
        <f>"9788776941802"</f>
        <v>9788776941802</v>
      </c>
      <c r="S326" t="str">
        <f>"9788776946630"</f>
        <v>9788776946630</v>
      </c>
      <c r="T326">
        <v>1046074454</v>
      </c>
    </row>
    <row r="327" spans="1:20" x14ac:dyDescent="0.3">
      <c r="A327">
        <v>1851390</v>
      </c>
      <c r="B327" t="s">
        <v>1428</v>
      </c>
      <c r="D327" t="s">
        <v>1363</v>
      </c>
      <c r="E327" t="s">
        <v>1364</v>
      </c>
      <c r="F327">
        <v>2016</v>
      </c>
      <c r="J327" t="s">
        <v>24</v>
      </c>
      <c r="K327" t="s">
        <v>25</v>
      </c>
      <c r="L327" t="b">
        <v>1</v>
      </c>
      <c r="M327" t="s">
        <v>1429</v>
      </c>
      <c r="P327" t="b">
        <v>0</v>
      </c>
      <c r="R327" t="str">
        <f>"9788776941789"</f>
        <v>9788776941789</v>
      </c>
      <c r="S327" t="str">
        <f>"9788776946623"</f>
        <v>9788776946623</v>
      </c>
    </row>
    <row r="328" spans="1:20" x14ac:dyDescent="0.3">
      <c r="A328">
        <v>1851388</v>
      </c>
      <c r="B328" t="s">
        <v>1430</v>
      </c>
      <c r="D328" t="s">
        <v>1363</v>
      </c>
      <c r="E328" t="s">
        <v>1431</v>
      </c>
      <c r="F328">
        <v>2015</v>
      </c>
      <c r="J328" t="s">
        <v>24</v>
      </c>
      <c r="K328" t="s">
        <v>25</v>
      </c>
      <c r="L328" t="b">
        <v>1</v>
      </c>
      <c r="M328" t="s">
        <v>1432</v>
      </c>
      <c r="P328" t="b">
        <v>0</v>
      </c>
      <c r="R328" t="str">
        <f>"9788776941574"</f>
        <v>9788776941574</v>
      </c>
      <c r="S328" t="str">
        <f>"9788776946609"</f>
        <v>9788776946609</v>
      </c>
    </row>
    <row r="329" spans="1:20" x14ac:dyDescent="0.3">
      <c r="A329">
        <v>1851386</v>
      </c>
      <c r="B329" t="s">
        <v>1433</v>
      </c>
      <c r="D329" t="s">
        <v>1363</v>
      </c>
      <c r="E329" t="s">
        <v>1364</v>
      </c>
      <c r="F329">
        <v>2016</v>
      </c>
      <c r="J329" t="s">
        <v>24</v>
      </c>
      <c r="K329" t="s">
        <v>25</v>
      </c>
      <c r="L329" t="b">
        <v>1</v>
      </c>
      <c r="M329" t="s">
        <v>1434</v>
      </c>
      <c r="P329" t="b">
        <v>0</v>
      </c>
      <c r="R329" t="str">
        <f>"9788776941833"</f>
        <v>9788776941833</v>
      </c>
      <c r="S329" t="str">
        <f>"9788776946586"</f>
        <v>9788776946586</v>
      </c>
    </row>
    <row r="330" spans="1:20" x14ac:dyDescent="0.3">
      <c r="A330">
        <v>1851385</v>
      </c>
      <c r="B330" t="s">
        <v>1435</v>
      </c>
      <c r="D330" t="s">
        <v>1363</v>
      </c>
      <c r="E330" t="s">
        <v>1364</v>
      </c>
      <c r="F330">
        <v>2016</v>
      </c>
      <c r="J330" t="s">
        <v>24</v>
      </c>
      <c r="K330" t="s">
        <v>25</v>
      </c>
      <c r="L330" t="b">
        <v>1</v>
      </c>
      <c r="M330" t="s">
        <v>1436</v>
      </c>
      <c r="P330" t="b">
        <v>0</v>
      </c>
      <c r="R330" t="str">
        <f>"9788776941598"</f>
        <v>9788776941598</v>
      </c>
      <c r="S330" t="str">
        <f>"9788776946579"</f>
        <v>9788776946579</v>
      </c>
    </row>
    <row r="331" spans="1:20" x14ac:dyDescent="0.3">
      <c r="A331">
        <v>1851384</v>
      </c>
      <c r="B331" t="s">
        <v>1437</v>
      </c>
      <c r="C331" t="s">
        <v>1438</v>
      </c>
      <c r="D331" t="s">
        <v>1363</v>
      </c>
      <c r="E331" t="s">
        <v>1364</v>
      </c>
      <c r="F331">
        <v>2016</v>
      </c>
      <c r="G331" t="s">
        <v>1439</v>
      </c>
      <c r="H331" t="s">
        <v>1440</v>
      </c>
      <c r="J331" t="s">
        <v>24</v>
      </c>
      <c r="K331" t="s">
        <v>25</v>
      </c>
      <c r="L331" t="b">
        <v>1</v>
      </c>
      <c r="M331" t="s">
        <v>1441</v>
      </c>
      <c r="N331" t="str">
        <f>"959.1053"</f>
        <v>959.1053</v>
      </c>
      <c r="O331" t="s">
        <v>1395</v>
      </c>
      <c r="P331" t="b">
        <v>0</v>
      </c>
      <c r="R331" t="str">
        <f>"9788776941895"</f>
        <v>9788776941895</v>
      </c>
      <c r="S331" t="str">
        <f>"9788776946548"</f>
        <v>9788776946548</v>
      </c>
      <c r="T331">
        <v>1046107211</v>
      </c>
    </row>
    <row r="332" spans="1:20" x14ac:dyDescent="0.3">
      <c r="A332">
        <v>1851383</v>
      </c>
      <c r="B332" t="s">
        <v>1442</v>
      </c>
      <c r="D332" t="s">
        <v>1363</v>
      </c>
      <c r="E332" t="s">
        <v>1364</v>
      </c>
      <c r="F332">
        <v>2016</v>
      </c>
      <c r="J332" t="s">
        <v>24</v>
      </c>
      <c r="K332" t="s">
        <v>25</v>
      </c>
      <c r="L332" t="b">
        <v>1</v>
      </c>
      <c r="M332" t="s">
        <v>1443</v>
      </c>
      <c r="P332" t="b">
        <v>0</v>
      </c>
      <c r="R332" t="str">
        <f>"9788776941871"</f>
        <v>9788776941871</v>
      </c>
      <c r="S332" t="str">
        <f>"9788776946531"</f>
        <v>9788776946531</v>
      </c>
    </row>
    <row r="333" spans="1:20" x14ac:dyDescent="0.3">
      <c r="A333">
        <v>1851382</v>
      </c>
      <c r="B333" t="s">
        <v>1444</v>
      </c>
      <c r="D333" t="s">
        <v>1363</v>
      </c>
      <c r="E333" t="s">
        <v>1375</v>
      </c>
      <c r="F333">
        <v>2016</v>
      </c>
      <c r="J333" t="s">
        <v>24</v>
      </c>
      <c r="K333" t="s">
        <v>25</v>
      </c>
      <c r="L333" t="b">
        <v>1</v>
      </c>
      <c r="M333" t="s">
        <v>1445</v>
      </c>
      <c r="P333" t="b">
        <v>0</v>
      </c>
      <c r="R333" t="str">
        <f>"9788776942007"</f>
        <v>9788776942007</v>
      </c>
      <c r="S333" t="str">
        <f>"9788776946524"</f>
        <v>9788776946524</v>
      </c>
    </row>
    <row r="334" spans="1:20" x14ac:dyDescent="0.3">
      <c r="A334">
        <v>1851381</v>
      </c>
      <c r="B334" t="s">
        <v>1446</v>
      </c>
      <c r="D334" t="s">
        <v>1363</v>
      </c>
      <c r="E334" t="s">
        <v>1364</v>
      </c>
      <c r="F334">
        <v>2016</v>
      </c>
      <c r="J334" t="s">
        <v>24</v>
      </c>
      <c r="K334" t="s">
        <v>25</v>
      </c>
      <c r="L334" t="b">
        <v>1</v>
      </c>
      <c r="M334" t="s">
        <v>1447</v>
      </c>
      <c r="P334" t="b">
        <v>0</v>
      </c>
      <c r="R334" t="str">
        <f>"9788776941918"</f>
        <v>9788776941918</v>
      </c>
      <c r="S334" t="str">
        <f>"9788776946517"</f>
        <v>9788776946517</v>
      </c>
    </row>
    <row r="335" spans="1:20" x14ac:dyDescent="0.3">
      <c r="A335">
        <v>1851379</v>
      </c>
      <c r="B335" t="s">
        <v>1448</v>
      </c>
      <c r="D335" t="s">
        <v>1363</v>
      </c>
      <c r="E335" t="s">
        <v>1364</v>
      </c>
      <c r="F335">
        <v>2015</v>
      </c>
      <c r="G335" t="s">
        <v>1449</v>
      </c>
      <c r="H335" t="s">
        <v>1450</v>
      </c>
      <c r="I335" t="s">
        <v>1451</v>
      </c>
      <c r="J335" t="s">
        <v>24</v>
      </c>
      <c r="K335" t="s">
        <v>25</v>
      </c>
      <c r="L335" t="b">
        <v>1</v>
      </c>
      <c r="M335" t="s">
        <v>1452</v>
      </c>
      <c r="N335" t="str">
        <f>"004.6780951"</f>
        <v>004.6780951</v>
      </c>
      <c r="O335" t="s">
        <v>1453</v>
      </c>
      <c r="P335" t="b">
        <v>0</v>
      </c>
      <c r="R335" t="str">
        <f>"9788776941765"</f>
        <v>9788776941765</v>
      </c>
      <c r="S335" t="str">
        <f>"9788776946494"</f>
        <v>9788776946494</v>
      </c>
      <c r="T335">
        <v>1047540585</v>
      </c>
    </row>
    <row r="336" spans="1:20" x14ac:dyDescent="0.3">
      <c r="A336">
        <v>1849509</v>
      </c>
      <c r="B336" t="s">
        <v>1454</v>
      </c>
      <c r="D336" t="s">
        <v>38</v>
      </c>
      <c r="E336" t="s">
        <v>39</v>
      </c>
      <c r="F336">
        <v>1996</v>
      </c>
      <c r="G336" t="s">
        <v>60</v>
      </c>
      <c r="H336" t="s">
        <v>1455</v>
      </c>
      <c r="I336" t="s">
        <v>1456</v>
      </c>
      <c r="J336" t="s">
        <v>24</v>
      </c>
      <c r="K336" t="s">
        <v>25</v>
      </c>
      <c r="L336" t="b">
        <v>1</v>
      </c>
      <c r="M336" t="s">
        <v>1457</v>
      </c>
      <c r="N336" t="str">
        <f>"975.8/72400496073"</f>
        <v>975.8/72400496073</v>
      </c>
      <c r="O336" t="s">
        <v>101</v>
      </c>
      <c r="P336" t="b">
        <v>0</v>
      </c>
      <c r="R336" t="str">
        <f>"9781557285461"</f>
        <v>9781557285461</v>
      </c>
      <c r="S336" t="str">
        <f>"9781610750738"</f>
        <v>9781610750738</v>
      </c>
      <c r="T336">
        <v>604098146</v>
      </c>
    </row>
    <row r="337" spans="1:20" x14ac:dyDescent="0.3">
      <c r="A337">
        <v>1847874</v>
      </c>
      <c r="B337" t="s">
        <v>1458</v>
      </c>
      <c r="C337" t="s">
        <v>1459</v>
      </c>
      <c r="D337" t="s">
        <v>707</v>
      </c>
      <c r="E337" t="s">
        <v>708</v>
      </c>
      <c r="F337">
        <v>2006</v>
      </c>
      <c r="G337" t="s">
        <v>1460</v>
      </c>
      <c r="H337" t="s">
        <v>1461</v>
      </c>
      <c r="I337" t="s">
        <v>1462</v>
      </c>
      <c r="J337" t="s">
        <v>24</v>
      </c>
      <c r="K337" t="s">
        <v>55</v>
      </c>
      <c r="L337" t="b">
        <v>1</v>
      </c>
      <c r="M337" t="s">
        <v>1463</v>
      </c>
      <c r="N337" t="str">
        <f>"302.23/430954"</f>
        <v>302.23/430954</v>
      </c>
      <c r="P337" t="b">
        <v>0</v>
      </c>
      <c r="R337" t="str">
        <f>"9780761934608"</f>
        <v>9780761934608</v>
      </c>
      <c r="S337" t="str">
        <f>"9789352803026"</f>
        <v>9789352803026</v>
      </c>
      <c r="T337">
        <v>608402924</v>
      </c>
    </row>
    <row r="338" spans="1:20" x14ac:dyDescent="0.3">
      <c r="A338">
        <v>1845114</v>
      </c>
      <c r="B338" t="s">
        <v>1464</v>
      </c>
      <c r="C338" t="s">
        <v>1465</v>
      </c>
      <c r="D338" t="s">
        <v>1466</v>
      </c>
      <c r="E338" t="s">
        <v>1467</v>
      </c>
      <c r="F338">
        <v>2013</v>
      </c>
      <c r="G338" t="s">
        <v>1468</v>
      </c>
      <c r="H338" t="s">
        <v>1469</v>
      </c>
      <c r="I338" t="s">
        <v>1470</v>
      </c>
      <c r="J338" t="s">
        <v>24</v>
      </c>
      <c r="K338" t="s">
        <v>25</v>
      </c>
      <c r="L338" t="b">
        <v>1</v>
      </c>
      <c r="M338" t="s">
        <v>1471</v>
      </c>
      <c r="N338" t="str">
        <f>"346.405/409024"</f>
        <v>346.405/409024</v>
      </c>
      <c r="O338" t="s">
        <v>1472</v>
      </c>
      <c r="P338" t="b">
        <v>0</v>
      </c>
      <c r="R338" t="str">
        <f>"9789004364325"</f>
        <v>9789004364325</v>
      </c>
      <c r="S338" t="str">
        <f>"9789004365704"</f>
        <v>9789004365704</v>
      </c>
      <c r="T338">
        <v>1028584981</v>
      </c>
    </row>
    <row r="339" spans="1:20" x14ac:dyDescent="0.3">
      <c r="A339">
        <v>1842685</v>
      </c>
      <c r="B339" t="s">
        <v>1473</v>
      </c>
      <c r="D339" t="s">
        <v>407</v>
      </c>
      <c r="E339" t="s">
        <v>407</v>
      </c>
      <c r="F339">
        <v>2012</v>
      </c>
      <c r="J339" t="s">
        <v>24</v>
      </c>
      <c r="K339" t="s">
        <v>25</v>
      </c>
      <c r="L339" t="b">
        <v>1</v>
      </c>
      <c r="M339" t="s">
        <v>1474</v>
      </c>
      <c r="P339" t="b">
        <v>0</v>
      </c>
      <c r="S339" t="str">
        <f>"9789654066181"</f>
        <v>9789654066181</v>
      </c>
    </row>
    <row r="340" spans="1:20" x14ac:dyDescent="0.3">
      <c r="A340">
        <v>1842684</v>
      </c>
      <c r="B340" t="s">
        <v>1475</v>
      </c>
      <c r="D340" t="s">
        <v>407</v>
      </c>
      <c r="E340" t="s">
        <v>407</v>
      </c>
      <c r="F340">
        <v>2012</v>
      </c>
      <c r="J340" t="s">
        <v>24</v>
      </c>
      <c r="K340" t="s">
        <v>25</v>
      </c>
      <c r="L340" t="b">
        <v>1</v>
      </c>
      <c r="M340" t="s">
        <v>1474</v>
      </c>
      <c r="P340" t="b">
        <v>0</v>
      </c>
      <c r="R340" t="str">
        <f>"9789654062862"</f>
        <v>9789654062862</v>
      </c>
      <c r="S340" t="str">
        <f>"9789654065894"</f>
        <v>9789654065894</v>
      </c>
    </row>
    <row r="341" spans="1:20" x14ac:dyDescent="0.3">
      <c r="A341">
        <v>1842682</v>
      </c>
      <c r="B341" t="s">
        <v>1476</v>
      </c>
      <c r="D341" t="s">
        <v>407</v>
      </c>
      <c r="E341" t="s">
        <v>407</v>
      </c>
      <c r="F341">
        <v>2012</v>
      </c>
      <c r="J341" t="s">
        <v>24</v>
      </c>
      <c r="K341" t="s">
        <v>25</v>
      </c>
      <c r="L341" t="b">
        <v>1</v>
      </c>
      <c r="M341" t="s">
        <v>1477</v>
      </c>
      <c r="P341" t="b">
        <v>0</v>
      </c>
      <c r="R341" t="str">
        <f>"9789654062831"</f>
        <v>9789654062831</v>
      </c>
      <c r="S341" t="str">
        <f>"9789654065870"</f>
        <v>9789654065870</v>
      </c>
    </row>
    <row r="342" spans="1:20" x14ac:dyDescent="0.3">
      <c r="A342">
        <v>1842681</v>
      </c>
      <c r="B342" t="s">
        <v>1478</v>
      </c>
      <c r="D342" t="s">
        <v>407</v>
      </c>
      <c r="E342" t="s">
        <v>407</v>
      </c>
      <c r="F342">
        <v>2011</v>
      </c>
      <c r="J342" t="s">
        <v>24</v>
      </c>
      <c r="K342" t="s">
        <v>25</v>
      </c>
      <c r="L342" t="b">
        <v>1</v>
      </c>
      <c r="M342" t="s">
        <v>1479</v>
      </c>
      <c r="P342" t="b">
        <v>0</v>
      </c>
      <c r="R342" t="str">
        <f>"9789654062503"</f>
        <v>9789654062503</v>
      </c>
      <c r="S342" t="str">
        <f>"9789654065863"</f>
        <v>9789654065863</v>
      </c>
    </row>
    <row r="343" spans="1:20" x14ac:dyDescent="0.3">
      <c r="A343">
        <v>1842677</v>
      </c>
      <c r="B343" t="s">
        <v>1480</v>
      </c>
      <c r="C343" t="s">
        <v>1481</v>
      </c>
      <c r="D343" t="s">
        <v>1482</v>
      </c>
      <c r="E343" t="s">
        <v>1482</v>
      </c>
      <c r="F343">
        <v>2015</v>
      </c>
      <c r="G343" t="s">
        <v>1483</v>
      </c>
      <c r="H343" t="s">
        <v>1484</v>
      </c>
      <c r="I343" t="s">
        <v>1485</v>
      </c>
      <c r="J343" t="s">
        <v>24</v>
      </c>
      <c r="K343" t="s">
        <v>269</v>
      </c>
      <c r="L343" t="b">
        <v>1</v>
      </c>
      <c r="M343" t="s">
        <v>1486</v>
      </c>
      <c r="N343" t="str">
        <f>"327.0956"</f>
        <v>327.0956</v>
      </c>
      <c r="O343" t="s">
        <v>1487</v>
      </c>
      <c r="P343" t="b">
        <v>0</v>
      </c>
      <c r="R343" t="str">
        <f>"9780719099755"</f>
        <v>9780719099755</v>
      </c>
      <c r="S343" t="str">
        <f>"9780719099090"</f>
        <v>9780719099090</v>
      </c>
      <c r="T343">
        <v>975485874</v>
      </c>
    </row>
    <row r="344" spans="1:20" x14ac:dyDescent="0.3">
      <c r="A344">
        <v>1842640</v>
      </c>
      <c r="B344" t="s">
        <v>1488</v>
      </c>
      <c r="C344" t="s">
        <v>1489</v>
      </c>
      <c r="D344" t="s">
        <v>1482</v>
      </c>
      <c r="E344" t="s">
        <v>1482</v>
      </c>
      <c r="F344">
        <v>2006</v>
      </c>
      <c r="G344" t="s">
        <v>378</v>
      </c>
      <c r="H344" t="s">
        <v>1490</v>
      </c>
      <c r="I344" t="s">
        <v>1491</v>
      </c>
      <c r="J344" t="s">
        <v>24</v>
      </c>
      <c r="K344" t="s">
        <v>25</v>
      </c>
      <c r="L344" t="b">
        <v>1</v>
      </c>
      <c r="M344" t="s">
        <v>1492</v>
      </c>
      <c r="N344" t="str">
        <f>"363.2082"</f>
        <v>363.2082</v>
      </c>
      <c r="O344" t="s">
        <v>1493</v>
      </c>
      <c r="P344" t="b">
        <v>0</v>
      </c>
      <c r="R344" t="str">
        <f>"9780719073908"</f>
        <v>9780719073908</v>
      </c>
      <c r="S344" t="str">
        <f>"9781526130273"</f>
        <v>9781526130273</v>
      </c>
      <c r="T344">
        <v>1043555866</v>
      </c>
    </row>
    <row r="345" spans="1:20" x14ac:dyDescent="0.3">
      <c r="A345">
        <v>1842637</v>
      </c>
      <c r="B345" t="s">
        <v>1494</v>
      </c>
      <c r="C345" t="s">
        <v>1495</v>
      </c>
      <c r="D345" t="s">
        <v>1482</v>
      </c>
      <c r="E345" t="s">
        <v>1482</v>
      </c>
      <c r="F345">
        <v>2014</v>
      </c>
      <c r="G345" t="s">
        <v>1496</v>
      </c>
      <c r="J345" t="s">
        <v>24</v>
      </c>
      <c r="K345" t="s">
        <v>269</v>
      </c>
      <c r="L345" t="b">
        <v>1</v>
      </c>
      <c r="M345" t="s">
        <v>1497</v>
      </c>
      <c r="O345" t="s">
        <v>1498</v>
      </c>
      <c r="P345" t="b">
        <v>0</v>
      </c>
      <c r="S345" t="str">
        <f>"9781847798930"</f>
        <v>9781847798930</v>
      </c>
    </row>
    <row r="346" spans="1:20" x14ac:dyDescent="0.3">
      <c r="A346">
        <v>1842635</v>
      </c>
      <c r="B346" t="s">
        <v>1499</v>
      </c>
      <c r="C346" t="s">
        <v>1500</v>
      </c>
      <c r="D346" t="s">
        <v>1482</v>
      </c>
      <c r="E346" t="s">
        <v>1482</v>
      </c>
      <c r="F346">
        <v>2006</v>
      </c>
      <c r="G346" t="s">
        <v>1501</v>
      </c>
      <c r="H346" t="s">
        <v>1502</v>
      </c>
      <c r="I346" t="s">
        <v>1503</v>
      </c>
      <c r="J346" t="s">
        <v>24</v>
      </c>
      <c r="K346" t="s">
        <v>25</v>
      </c>
      <c r="L346" t="b">
        <v>1</v>
      </c>
      <c r="M346" t="s">
        <v>1504</v>
      </c>
      <c r="N346" t="str">
        <f>"942.055072042"</f>
        <v>942.055072042</v>
      </c>
      <c r="O346" t="s">
        <v>1505</v>
      </c>
      <c r="P346" t="b">
        <v>0</v>
      </c>
      <c r="R346" t="str">
        <f>"9780719072949"</f>
        <v>9780719072949</v>
      </c>
      <c r="S346" t="str">
        <f>"9781526129574"</f>
        <v>9781526129574</v>
      </c>
      <c r="T346">
        <v>607799251</v>
      </c>
    </row>
    <row r="347" spans="1:20" x14ac:dyDescent="0.3">
      <c r="A347">
        <v>1842628</v>
      </c>
      <c r="B347" t="s">
        <v>1506</v>
      </c>
      <c r="C347" t="s">
        <v>1507</v>
      </c>
      <c r="D347" t="s">
        <v>1482</v>
      </c>
      <c r="E347" t="s">
        <v>1482</v>
      </c>
      <c r="F347">
        <v>2009</v>
      </c>
      <c r="G347" t="s">
        <v>1508</v>
      </c>
      <c r="H347" t="s">
        <v>1509</v>
      </c>
      <c r="I347" t="s">
        <v>1510</v>
      </c>
      <c r="J347" t="s">
        <v>24</v>
      </c>
      <c r="K347" t="s">
        <v>25</v>
      </c>
      <c r="L347" t="b">
        <v>1</v>
      </c>
      <c r="M347" t="s">
        <v>1511</v>
      </c>
      <c r="N347" t="str">
        <f>"069.0942733"</f>
        <v>069.0942733</v>
      </c>
      <c r="P347" t="b">
        <v>0</v>
      </c>
      <c r="R347" t="str">
        <f>"9780719081149"</f>
        <v>9780719081149</v>
      </c>
      <c r="S347" t="str">
        <f>"9781526129543"</f>
        <v>9781526129543</v>
      </c>
      <c r="T347">
        <v>1022247622</v>
      </c>
    </row>
    <row r="348" spans="1:20" x14ac:dyDescent="0.3">
      <c r="A348">
        <v>1842626</v>
      </c>
      <c r="B348" t="s">
        <v>1512</v>
      </c>
      <c r="C348" t="s">
        <v>1513</v>
      </c>
      <c r="D348" t="s">
        <v>1482</v>
      </c>
      <c r="E348" t="s">
        <v>1482</v>
      </c>
      <c r="F348">
        <v>2007</v>
      </c>
      <c r="G348" t="s">
        <v>1514</v>
      </c>
      <c r="H348" t="s">
        <v>1515</v>
      </c>
      <c r="I348" t="s">
        <v>1516</v>
      </c>
      <c r="J348" t="s">
        <v>24</v>
      </c>
      <c r="K348" t="s">
        <v>25</v>
      </c>
      <c r="L348" t="b">
        <v>1</v>
      </c>
      <c r="M348" t="s">
        <v>1517</v>
      </c>
      <c r="N348" t="str">
        <f>"362.7094183"</f>
        <v>362.7094183</v>
      </c>
      <c r="P348" t="b">
        <v>0</v>
      </c>
      <c r="R348" t="str">
        <f>"9780719074745"</f>
        <v>9780719074745</v>
      </c>
      <c r="S348" t="str">
        <f>"9781526129949"</f>
        <v>9781526129949</v>
      </c>
      <c r="T348">
        <v>1043555756</v>
      </c>
    </row>
    <row r="349" spans="1:20" x14ac:dyDescent="0.3">
      <c r="A349">
        <v>1842625</v>
      </c>
      <c r="B349" t="s">
        <v>1518</v>
      </c>
      <c r="C349" t="s">
        <v>1519</v>
      </c>
      <c r="D349" t="s">
        <v>1482</v>
      </c>
      <c r="E349" t="s">
        <v>1482</v>
      </c>
      <c r="F349">
        <v>2012</v>
      </c>
      <c r="G349" t="s">
        <v>641</v>
      </c>
      <c r="H349" t="s">
        <v>1520</v>
      </c>
      <c r="I349" t="s">
        <v>1521</v>
      </c>
      <c r="J349" t="s">
        <v>24</v>
      </c>
      <c r="K349" t="s">
        <v>25</v>
      </c>
      <c r="L349" t="b">
        <v>1</v>
      </c>
      <c r="M349" t="s">
        <v>1522</v>
      </c>
      <c r="N349" t="str">
        <f>"820.935809032"</f>
        <v>820.935809032</v>
      </c>
      <c r="P349" t="b">
        <v>0</v>
      </c>
      <c r="R349" t="str">
        <f>"9780719087622"</f>
        <v>9780719087622</v>
      </c>
      <c r="S349" t="str">
        <f>"9781526130167"</f>
        <v>9781526130167</v>
      </c>
      <c r="T349">
        <v>1033554015</v>
      </c>
    </row>
    <row r="350" spans="1:20" x14ac:dyDescent="0.3">
      <c r="A350">
        <v>1842620</v>
      </c>
      <c r="B350" t="s">
        <v>1523</v>
      </c>
      <c r="C350" t="s">
        <v>1524</v>
      </c>
      <c r="D350" t="s">
        <v>1482</v>
      </c>
      <c r="E350" t="s">
        <v>1482</v>
      </c>
      <c r="F350">
        <v>2012</v>
      </c>
      <c r="G350" t="s">
        <v>611</v>
      </c>
      <c r="H350" t="s">
        <v>1525</v>
      </c>
      <c r="I350" t="s">
        <v>1526</v>
      </c>
      <c r="J350" t="s">
        <v>24</v>
      </c>
      <c r="K350" t="s">
        <v>25</v>
      </c>
      <c r="L350" t="b">
        <v>1</v>
      </c>
      <c r="M350" t="s">
        <v>1527</v>
      </c>
      <c r="N350" t="str">
        <f>"398.209"</f>
        <v>398.209</v>
      </c>
      <c r="P350" t="b">
        <v>0</v>
      </c>
      <c r="R350" t="str">
        <f>"9780719083792"</f>
        <v>9780719083792</v>
      </c>
      <c r="S350" t="str">
        <f>"9781526129703"</f>
        <v>9781526129703</v>
      </c>
      <c r="T350">
        <v>1033550316</v>
      </c>
    </row>
    <row r="351" spans="1:20" x14ac:dyDescent="0.3">
      <c r="A351">
        <v>1842619</v>
      </c>
      <c r="B351" t="s">
        <v>1528</v>
      </c>
      <c r="C351" t="s">
        <v>1529</v>
      </c>
      <c r="D351" t="s">
        <v>1482</v>
      </c>
      <c r="E351" t="s">
        <v>1482</v>
      </c>
      <c r="F351">
        <v>2010</v>
      </c>
      <c r="G351" t="s">
        <v>1530</v>
      </c>
      <c r="H351" t="s">
        <v>1531</v>
      </c>
      <c r="I351" t="s">
        <v>1532</v>
      </c>
      <c r="J351" t="s">
        <v>24</v>
      </c>
      <c r="K351" t="s">
        <v>25</v>
      </c>
      <c r="L351" t="b">
        <v>1</v>
      </c>
      <c r="M351" t="s">
        <v>1533</v>
      </c>
      <c r="N351" t="str">
        <f>"335.00924"</f>
        <v>335.00924</v>
      </c>
      <c r="P351" t="b">
        <v>0</v>
      </c>
      <c r="R351" t="str">
        <f>"9780719076909"</f>
        <v>9780719076909</v>
      </c>
      <c r="S351" t="str">
        <f>"9781526130464"</f>
        <v>9781526130464</v>
      </c>
      <c r="T351">
        <v>1033587859</v>
      </c>
    </row>
    <row r="352" spans="1:20" x14ac:dyDescent="0.3">
      <c r="A352">
        <v>1842609</v>
      </c>
      <c r="B352" t="s">
        <v>1534</v>
      </c>
      <c r="C352" t="s">
        <v>1535</v>
      </c>
      <c r="D352" t="s">
        <v>1482</v>
      </c>
      <c r="E352" t="s">
        <v>1482</v>
      </c>
      <c r="F352">
        <v>2007</v>
      </c>
      <c r="G352" t="s">
        <v>1514</v>
      </c>
      <c r="H352" t="s">
        <v>1536</v>
      </c>
      <c r="J352" t="s">
        <v>24</v>
      </c>
      <c r="K352" t="s">
        <v>25</v>
      </c>
      <c r="L352" t="b">
        <v>1</v>
      </c>
      <c r="M352" t="s">
        <v>1537</v>
      </c>
      <c r="N352" t="str">
        <f>"941.60821"</f>
        <v>941.60821</v>
      </c>
      <c r="P352" t="b">
        <v>0</v>
      </c>
      <c r="R352" t="str">
        <f>"9780719073717"</f>
        <v>9780719073717</v>
      </c>
      <c r="S352" t="str">
        <f>"9781526129567"</f>
        <v>9781526129567</v>
      </c>
      <c r="T352">
        <v>1043555671</v>
      </c>
    </row>
    <row r="353" spans="1:20" x14ac:dyDescent="0.3">
      <c r="A353">
        <v>1842602</v>
      </c>
      <c r="B353" t="s">
        <v>1538</v>
      </c>
      <c r="D353" t="s">
        <v>1482</v>
      </c>
      <c r="E353" t="s">
        <v>1482</v>
      </c>
      <c r="F353">
        <v>2015</v>
      </c>
      <c r="G353" t="s">
        <v>1539</v>
      </c>
      <c r="J353" t="s">
        <v>24</v>
      </c>
      <c r="K353" t="s">
        <v>269</v>
      </c>
      <c r="L353" t="b">
        <v>1</v>
      </c>
      <c r="M353" t="s">
        <v>1540</v>
      </c>
      <c r="O353" t="s">
        <v>1541</v>
      </c>
      <c r="P353" t="b">
        <v>0</v>
      </c>
      <c r="R353" t="str">
        <f>"9780719090301"</f>
        <v>9780719090301</v>
      </c>
      <c r="S353" t="str">
        <f>"9780719098758"</f>
        <v>9780719098758</v>
      </c>
    </row>
    <row r="354" spans="1:20" x14ac:dyDescent="0.3">
      <c r="A354">
        <v>1842567</v>
      </c>
      <c r="B354" t="s">
        <v>1542</v>
      </c>
      <c r="C354" t="s">
        <v>1543</v>
      </c>
      <c r="D354" t="s">
        <v>1272</v>
      </c>
      <c r="E354" t="s">
        <v>1272</v>
      </c>
      <c r="F354">
        <v>2016</v>
      </c>
      <c r="G354" t="s">
        <v>1544</v>
      </c>
      <c r="H354" t="s">
        <v>1545</v>
      </c>
      <c r="I354" t="s">
        <v>1546</v>
      </c>
      <c r="J354" t="s">
        <v>24</v>
      </c>
      <c r="K354" t="s">
        <v>269</v>
      </c>
      <c r="L354" t="b">
        <v>1</v>
      </c>
      <c r="M354" t="s">
        <v>1547</v>
      </c>
      <c r="N354" t="str">
        <f>"791.4302/33092;B"</f>
        <v>791.4302/33092;B</v>
      </c>
      <c r="O354" t="s">
        <v>1548</v>
      </c>
      <c r="P354" t="b">
        <v>0</v>
      </c>
      <c r="R354" t="str">
        <f>"9781625342515"</f>
        <v>9781625342515</v>
      </c>
      <c r="S354" t="str">
        <f>"9781613764879"</f>
        <v>9781613764879</v>
      </c>
      <c r="T354">
        <v>1012206029</v>
      </c>
    </row>
    <row r="355" spans="1:20" x14ac:dyDescent="0.3">
      <c r="A355">
        <v>1842566</v>
      </c>
      <c r="B355" t="s">
        <v>1549</v>
      </c>
      <c r="C355" t="s">
        <v>1550</v>
      </c>
      <c r="D355" t="s">
        <v>1272</v>
      </c>
      <c r="E355" t="s">
        <v>1272</v>
      </c>
      <c r="F355">
        <v>2016</v>
      </c>
      <c r="G355" t="s">
        <v>212</v>
      </c>
      <c r="H355" t="s">
        <v>1551</v>
      </c>
      <c r="I355" t="s">
        <v>1552</v>
      </c>
      <c r="J355" t="s">
        <v>24</v>
      </c>
      <c r="K355" t="s">
        <v>269</v>
      </c>
      <c r="L355" t="b">
        <v>1</v>
      </c>
      <c r="M355" t="s">
        <v>1553</v>
      </c>
      <c r="N355" t="str">
        <f>"810.9/896073"</f>
        <v>810.9/896073</v>
      </c>
      <c r="P355" t="b">
        <v>0</v>
      </c>
      <c r="R355" t="str">
        <f>"9781625342492"</f>
        <v>9781625342492</v>
      </c>
      <c r="S355" t="str">
        <f>"9781613764855"</f>
        <v>9781613764855</v>
      </c>
      <c r="T355">
        <v>1012281652</v>
      </c>
    </row>
    <row r="356" spans="1:20" x14ac:dyDescent="0.3">
      <c r="A356">
        <v>1842565</v>
      </c>
      <c r="B356" t="s">
        <v>1554</v>
      </c>
      <c r="C356" t="s">
        <v>1555</v>
      </c>
      <c r="D356" t="s">
        <v>1272</v>
      </c>
      <c r="E356" t="s">
        <v>1272</v>
      </c>
      <c r="F356">
        <v>2016</v>
      </c>
      <c r="G356" t="s">
        <v>114</v>
      </c>
      <c r="H356" t="s">
        <v>1556</v>
      </c>
      <c r="I356" t="s">
        <v>1557</v>
      </c>
      <c r="J356" t="s">
        <v>24</v>
      </c>
      <c r="K356" t="s">
        <v>269</v>
      </c>
      <c r="L356" t="b">
        <v>1</v>
      </c>
      <c r="M356" t="s">
        <v>1558</v>
      </c>
      <c r="N356" t="str">
        <f>"326/.8092;B"</f>
        <v>326/.8092;B</v>
      </c>
      <c r="P356" t="b">
        <v>0</v>
      </c>
      <c r="R356" t="str">
        <f>"9781625342454"</f>
        <v>9781625342454</v>
      </c>
      <c r="S356" t="str">
        <f>"9781613764817"</f>
        <v>9781613764817</v>
      </c>
      <c r="T356">
        <v>1012312578</v>
      </c>
    </row>
    <row r="357" spans="1:20" x14ac:dyDescent="0.3">
      <c r="A357">
        <v>1842561</v>
      </c>
      <c r="B357" t="s">
        <v>1559</v>
      </c>
      <c r="C357" t="s">
        <v>1560</v>
      </c>
      <c r="D357" t="s">
        <v>1272</v>
      </c>
      <c r="E357" t="s">
        <v>1272</v>
      </c>
      <c r="F357">
        <v>2016</v>
      </c>
      <c r="G357" t="s">
        <v>1325</v>
      </c>
      <c r="H357" t="s">
        <v>1561</v>
      </c>
      <c r="I357" t="s">
        <v>1562</v>
      </c>
      <c r="J357" t="s">
        <v>24</v>
      </c>
      <c r="K357" t="s">
        <v>269</v>
      </c>
      <c r="L357" t="b">
        <v>1</v>
      </c>
      <c r="M357" t="s">
        <v>1563</v>
      </c>
      <c r="N357" t="str">
        <f>"810.9/0054"</f>
        <v>810.9/0054</v>
      </c>
      <c r="O357" t="s">
        <v>1564</v>
      </c>
      <c r="P357" t="b">
        <v>0</v>
      </c>
      <c r="R357" t="str">
        <f>"9781625342348"</f>
        <v>9781625342348</v>
      </c>
      <c r="S357" t="str">
        <f>"9781613764695"</f>
        <v>9781613764695</v>
      </c>
      <c r="T357">
        <v>1007993449</v>
      </c>
    </row>
    <row r="358" spans="1:20" x14ac:dyDescent="0.3">
      <c r="A358">
        <v>1837578</v>
      </c>
      <c r="B358" t="s">
        <v>1565</v>
      </c>
      <c r="D358" t="s">
        <v>1011</v>
      </c>
      <c r="E358" t="s">
        <v>1011</v>
      </c>
      <c r="F358">
        <v>1993</v>
      </c>
      <c r="G358" t="s">
        <v>1566</v>
      </c>
      <c r="H358" t="s">
        <v>1567</v>
      </c>
      <c r="I358" t="s">
        <v>1568</v>
      </c>
      <c r="J358" t="s">
        <v>24</v>
      </c>
      <c r="K358" t="s">
        <v>25</v>
      </c>
      <c r="L358" t="b">
        <v>1</v>
      </c>
      <c r="M358" t="s">
        <v>1569</v>
      </c>
      <c r="N358" t="str">
        <f>"873/.01"</f>
        <v>873/.01</v>
      </c>
      <c r="O358" t="s">
        <v>1570</v>
      </c>
      <c r="P358" t="b">
        <v>0</v>
      </c>
      <c r="R358" t="str">
        <f>"9780801429071"</f>
        <v>9780801429071</v>
      </c>
      <c r="S358" t="str">
        <f>"9781501731938"</f>
        <v>9781501731938</v>
      </c>
      <c r="T358">
        <v>621584189</v>
      </c>
    </row>
    <row r="359" spans="1:20" x14ac:dyDescent="0.3">
      <c r="A359">
        <v>1837577</v>
      </c>
      <c r="B359" t="s">
        <v>1571</v>
      </c>
      <c r="C359" t="s">
        <v>1572</v>
      </c>
      <c r="D359" t="s">
        <v>1011</v>
      </c>
      <c r="E359" t="s">
        <v>1011</v>
      </c>
      <c r="F359">
        <v>1992</v>
      </c>
      <c r="G359" t="s">
        <v>1573</v>
      </c>
      <c r="H359" t="s">
        <v>1574</v>
      </c>
      <c r="I359" t="s">
        <v>1575</v>
      </c>
      <c r="J359" t="s">
        <v>24</v>
      </c>
      <c r="K359" t="s">
        <v>25</v>
      </c>
      <c r="L359" t="b">
        <v>1</v>
      </c>
      <c r="M359" t="s">
        <v>1576</v>
      </c>
      <c r="N359" t="str">
        <f>"944.081"</f>
        <v>944.081</v>
      </c>
      <c r="O359" t="s">
        <v>1577</v>
      </c>
      <c r="P359" t="b">
        <v>0</v>
      </c>
      <c r="R359" t="str">
        <f>"9780801426872"</f>
        <v>9780801426872</v>
      </c>
      <c r="S359" t="str">
        <f>"9781501731877"</f>
        <v>9781501731877</v>
      </c>
      <c r="T359">
        <v>1043192128</v>
      </c>
    </row>
    <row r="360" spans="1:20" x14ac:dyDescent="0.3">
      <c r="A360">
        <v>1837576</v>
      </c>
      <c r="B360" t="s">
        <v>1578</v>
      </c>
      <c r="D360" t="s">
        <v>1011</v>
      </c>
      <c r="E360" t="s">
        <v>1011</v>
      </c>
      <c r="F360">
        <v>1993</v>
      </c>
      <c r="G360" t="s">
        <v>713</v>
      </c>
      <c r="H360" t="s">
        <v>1579</v>
      </c>
      <c r="J360" t="s">
        <v>24</v>
      </c>
      <c r="K360" t="s">
        <v>25</v>
      </c>
      <c r="L360" t="b">
        <v>1</v>
      </c>
      <c r="M360" t="s">
        <v>1580</v>
      </c>
      <c r="N360" t="str">
        <f>"306.2/095195"</f>
        <v>306.2/095195</v>
      </c>
      <c r="P360" t="b">
        <v>0</v>
      </c>
      <c r="R360" t="str">
        <f>"9780801428678"</f>
        <v>9780801428678</v>
      </c>
      <c r="S360" t="str">
        <f>"9781501731761"</f>
        <v>9781501731761</v>
      </c>
      <c r="T360">
        <v>623860838</v>
      </c>
    </row>
    <row r="361" spans="1:20" x14ac:dyDescent="0.3">
      <c r="A361">
        <v>1837571</v>
      </c>
      <c r="B361" t="s">
        <v>1581</v>
      </c>
      <c r="D361" t="s">
        <v>1011</v>
      </c>
      <c r="E361" t="s">
        <v>1011</v>
      </c>
      <c r="F361">
        <v>1994</v>
      </c>
      <c r="G361" t="s">
        <v>1582</v>
      </c>
      <c r="H361" t="s">
        <v>1583</v>
      </c>
      <c r="I361" t="s">
        <v>1584</v>
      </c>
      <c r="J361" t="s">
        <v>24</v>
      </c>
      <c r="K361" t="s">
        <v>25</v>
      </c>
      <c r="L361" t="b">
        <v>1</v>
      </c>
      <c r="M361" t="s">
        <v>1585</v>
      </c>
      <c r="N361" t="str">
        <f>"801/.92"</f>
        <v>801/.92</v>
      </c>
      <c r="P361" t="b">
        <v>0</v>
      </c>
      <c r="R361" t="str">
        <f>"9780801481338"</f>
        <v>9780801481338</v>
      </c>
      <c r="S361" t="str">
        <f>"9781501729591"</f>
        <v>9781501729591</v>
      </c>
      <c r="T361">
        <v>624080993</v>
      </c>
    </row>
    <row r="362" spans="1:20" x14ac:dyDescent="0.3">
      <c r="A362">
        <v>1837569</v>
      </c>
      <c r="B362" t="s">
        <v>1586</v>
      </c>
      <c r="C362" t="s">
        <v>1587</v>
      </c>
      <c r="D362" t="s">
        <v>1011</v>
      </c>
      <c r="E362" t="s">
        <v>1011</v>
      </c>
      <c r="F362">
        <v>1992</v>
      </c>
      <c r="G362" t="s">
        <v>1588</v>
      </c>
      <c r="H362" t="s">
        <v>1589</v>
      </c>
      <c r="I362" t="s">
        <v>1590</v>
      </c>
      <c r="J362" t="s">
        <v>24</v>
      </c>
      <c r="K362" t="s">
        <v>25</v>
      </c>
      <c r="L362" t="b">
        <v>1</v>
      </c>
      <c r="M362" t="s">
        <v>1591</v>
      </c>
      <c r="N362" t="str">
        <f>"193"</f>
        <v>193</v>
      </c>
      <c r="P362" t="b">
        <v>0</v>
      </c>
      <c r="R362" t="str">
        <f>"9780801427671"</f>
        <v>9780801427671</v>
      </c>
      <c r="S362" t="str">
        <f>"9781501728983"</f>
        <v>9781501728983</v>
      </c>
      <c r="T362">
        <v>1042330685</v>
      </c>
    </row>
    <row r="363" spans="1:20" x14ac:dyDescent="0.3">
      <c r="A363">
        <v>1837566</v>
      </c>
      <c r="B363" t="s">
        <v>1592</v>
      </c>
      <c r="C363" t="s">
        <v>1593</v>
      </c>
      <c r="D363" t="s">
        <v>1011</v>
      </c>
      <c r="E363" t="s">
        <v>1011</v>
      </c>
      <c r="F363">
        <v>1994</v>
      </c>
      <c r="G363" t="s">
        <v>1054</v>
      </c>
      <c r="H363" t="s">
        <v>1594</v>
      </c>
      <c r="J363" t="s">
        <v>24</v>
      </c>
      <c r="K363" t="s">
        <v>25</v>
      </c>
      <c r="L363" t="b">
        <v>1</v>
      </c>
      <c r="M363" t="s">
        <v>1595</v>
      </c>
      <c r="N363" t="str">
        <f>"822.3/3"</f>
        <v>822.3/3</v>
      </c>
      <c r="P363" t="b">
        <v>0</v>
      </c>
      <c r="R363" t="str">
        <f>"9780801429170"</f>
        <v>9780801429170</v>
      </c>
      <c r="S363" t="str">
        <f>"9781501728709"</f>
        <v>9781501728709</v>
      </c>
      <c r="T363">
        <v>1042329605</v>
      </c>
    </row>
    <row r="364" spans="1:20" x14ac:dyDescent="0.3">
      <c r="A364">
        <v>1837560</v>
      </c>
      <c r="B364" t="s">
        <v>1596</v>
      </c>
      <c r="C364" t="s">
        <v>1597</v>
      </c>
      <c r="D364" t="s">
        <v>1011</v>
      </c>
      <c r="E364" t="s">
        <v>1011</v>
      </c>
      <c r="F364">
        <v>1991</v>
      </c>
      <c r="G364" t="s">
        <v>753</v>
      </c>
      <c r="H364" t="s">
        <v>1598</v>
      </c>
      <c r="I364" t="s">
        <v>1599</v>
      </c>
      <c r="J364" t="s">
        <v>24</v>
      </c>
      <c r="K364" t="s">
        <v>25</v>
      </c>
      <c r="L364" t="b">
        <v>1</v>
      </c>
      <c r="M364" t="s">
        <v>1600</v>
      </c>
      <c r="N364" t="str">
        <f>"335/.23/097309034"</f>
        <v>335/.23/097309034</v>
      </c>
      <c r="P364" t="b">
        <v>0</v>
      </c>
      <c r="R364" t="str">
        <f>"9780801424670"</f>
        <v>9780801424670</v>
      </c>
      <c r="S364" t="str">
        <f>"9781501725289"</f>
        <v>9781501725289</v>
      </c>
      <c r="T364">
        <v>645707565</v>
      </c>
    </row>
    <row r="365" spans="1:20" x14ac:dyDescent="0.3">
      <c r="A365">
        <v>1837559</v>
      </c>
      <c r="B365" t="s">
        <v>1601</v>
      </c>
      <c r="C365" t="s">
        <v>1602</v>
      </c>
      <c r="D365" t="s">
        <v>1011</v>
      </c>
      <c r="E365" t="s">
        <v>1011</v>
      </c>
      <c r="F365">
        <v>1996</v>
      </c>
      <c r="G365" t="s">
        <v>1050</v>
      </c>
      <c r="H365" t="s">
        <v>1603</v>
      </c>
      <c r="I365" t="s">
        <v>1604</v>
      </c>
      <c r="J365" t="s">
        <v>24</v>
      </c>
      <c r="K365" t="s">
        <v>25</v>
      </c>
      <c r="L365" t="b">
        <v>1</v>
      </c>
      <c r="M365" t="s">
        <v>1605</v>
      </c>
      <c r="N365" t="str">
        <f>"306.2"</f>
        <v>306.2</v>
      </c>
      <c r="P365" t="b">
        <v>0</v>
      </c>
      <c r="R365" t="str">
        <f>"9780801430619"</f>
        <v>9780801430619</v>
      </c>
      <c r="S365" t="str">
        <f>"9781501725029"</f>
        <v>9781501725029</v>
      </c>
      <c r="T365">
        <v>605118014</v>
      </c>
    </row>
    <row r="366" spans="1:20" x14ac:dyDescent="0.3">
      <c r="A366">
        <v>1837557</v>
      </c>
      <c r="B366" t="s">
        <v>1606</v>
      </c>
      <c r="C366" t="s">
        <v>1607</v>
      </c>
      <c r="D366" t="s">
        <v>1011</v>
      </c>
      <c r="E366" t="s">
        <v>1011</v>
      </c>
      <c r="F366">
        <v>1995</v>
      </c>
      <c r="G366" t="s">
        <v>1608</v>
      </c>
      <c r="H366" t="s">
        <v>1609</v>
      </c>
      <c r="I366" t="s">
        <v>1610</v>
      </c>
      <c r="J366" t="s">
        <v>24</v>
      </c>
      <c r="K366" t="s">
        <v>25</v>
      </c>
      <c r="L366" t="b">
        <v>1</v>
      </c>
      <c r="M366" t="s">
        <v>1611</v>
      </c>
      <c r="N366" t="str">
        <f>"809.3/99287"</f>
        <v>809.3/99287</v>
      </c>
      <c r="O366" t="s">
        <v>1612</v>
      </c>
      <c r="P366" t="b">
        <v>0</v>
      </c>
      <c r="R366" t="str">
        <f>"9780801429842"</f>
        <v>9780801429842</v>
      </c>
      <c r="S366" t="str">
        <f>"9781501724541"</f>
        <v>9781501724541</v>
      </c>
      <c r="T366">
        <v>1042220235</v>
      </c>
    </row>
    <row r="367" spans="1:20" x14ac:dyDescent="0.3">
      <c r="A367">
        <v>1837554</v>
      </c>
      <c r="B367" t="s">
        <v>1613</v>
      </c>
      <c r="C367" t="s">
        <v>1614</v>
      </c>
      <c r="D367" t="s">
        <v>1011</v>
      </c>
      <c r="E367" t="s">
        <v>1011</v>
      </c>
      <c r="F367">
        <v>2007</v>
      </c>
      <c r="G367" t="s">
        <v>753</v>
      </c>
      <c r="H367" t="s">
        <v>1615</v>
      </c>
      <c r="I367" t="s">
        <v>1616</v>
      </c>
      <c r="J367" t="s">
        <v>24</v>
      </c>
      <c r="K367" t="s">
        <v>25</v>
      </c>
      <c r="L367" t="b">
        <v>1</v>
      </c>
      <c r="M367" t="s">
        <v>1617</v>
      </c>
      <c r="N367" t="str">
        <f>"305.48/9621097309033"</f>
        <v>305.48/9621097309033</v>
      </c>
      <c r="P367" t="b">
        <v>0</v>
      </c>
      <c r="R367" t="str">
        <f>"9780801441639"</f>
        <v>9780801441639</v>
      </c>
      <c r="S367" t="str">
        <f>"9781501711558"</f>
        <v>9781501711558</v>
      </c>
      <c r="T367">
        <v>1042219530</v>
      </c>
    </row>
    <row r="368" spans="1:20" x14ac:dyDescent="0.3">
      <c r="A368">
        <v>1837549</v>
      </c>
      <c r="B368" t="s">
        <v>1618</v>
      </c>
      <c r="C368" t="s">
        <v>1619</v>
      </c>
      <c r="D368" t="s">
        <v>1011</v>
      </c>
      <c r="E368" t="s">
        <v>1011</v>
      </c>
      <c r="F368">
        <v>2006</v>
      </c>
      <c r="G368" t="s">
        <v>1620</v>
      </c>
      <c r="H368" t="s">
        <v>1621</v>
      </c>
      <c r="I368" t="s">
        <v>1622</v>
      </c>
      <c r="J368" t="s">
        <v>24</v>
      </c>
      <c r="K368" t="s">
        <v>25</v>
      </c>
      <c r="L368" t="b">
        <v>1</v>
      </c>
      <c r="M368" t="s">
        <v>1623</v>
      </c>
      <c r="N368" t="str">
        <f>"345.73/0253"</f>
        <v>345.73/0253</v>
      </c>
      <c r="P368" t="b">
        <v>0</v>
      </c>
      <c r="R368" t="str">
        <f>"9780801443787"</f>
        <v>9780801443787</v>
      </c>
      <c r="S368" t="str">
        <f>"9781501731167"</f>
        <v>9781501731167</v>
      </c>
      <c r="T368">
        <v>1042220234</v>
      </c>
    </row>
    <row r="369" spans="1:20" x14ac:dyDescent="0.3">
      <c r="A369">
        <v>1837547</v>
      </c>
      <c r="B369" t="s">
        <v>1624</v>
      </c>
      <c r="C369" t="s">
        <v>1625</v>
      </c>
      <c r="D369" t="s">
        <v>1011</v>
      </c>
      <c r="E369" t="s">
        <v>1011</v>
      </c>
      <c r="F369">
        <v>2006</v>
      </c>
      <c r="G369" t="s">
        <v>1573</v>
      </c>
      <c r="H369" t="s">
        <v>1626</v>
      </c>
      <c r="I369" t="s">
        <v>1627</v>
      </c>
      <c r="J369" t="s">
        <v>24</v>
      </c>
      <c r="K369" t="s">
        <v>25</v>
      </c>
      <c r="L369" t="b">
        <v>1</v>
      </c>
      <c r="M369" t="s">
        <v>1628</v>
      </c>
      <c r="N369" t="str">
        <f>"305.310944/09034"</f>
        <v>305.310944/09034</v>
      </c>
      <c r="P369" t="b">
        <v>0</v>
      </c>
      <c r="R369" t="str">
        <f>"9780801444647"</f>
        <v>9780801444647</v>
      </c>
      <c r="S369" t="str">
        <f>"9781501729997"</f>
        <v>9781501729997</v>
      </c>
      <c r="T369">
        <v>1042329768</v>
      </c>
    </row>
    <row r="370" spans="1:20" x14ac:dyDescent="0.3">
      <c r="A370">
        <v>1837546</v>
      </c>
      <c r="B370" t="s">
        <v>1629</v>
      </c>
      <c r="C370" t="s">
        <v>1630</v>
      </c>
      <c r="D370" t="s">
        <v>1011</v>
      </c>
      <c r="E370" t="s">
        <v>1011</v>
      </c>
      <c r="F370">
        <v>2010</v>
      </c>
      <c r="G370" t="s">
        <v>145</v>
      </c>
      <c r="H370" t="s">
        <v>1631</v>
      </c>
      <c r="I370" t="s">
        <v>1632</v>
      </c>
      <c r="J370" t="s">
        <v>24</v>
      </c>
      <c r="K370" t="s">
        <v>25</v>
      </c>
      <c r="L370" t="b">
        <v>1</v>
      </c>
      <c r="M370" t="s">
        <v>1633</v>
      </c>
      <c r="N370" t="str">
        <f>"823.8"</f>
        <v>823.8</v>
      </c>
      <c r="P370" t="b">
        <v>0</v>
      </c>
      <c r="R370" t="str">
        <f>"9780801439254"</f>
        <v>9780801439254</v>
      </c>
      <c r="S370" t="str">
        <f>"9781501729126"</f>
        <v>9781501729126</v>
      </c>
      <c r="T370">
        <v>1042329816</v>
      </c>
    </row>
    <row r="371" spans="1:20" x14ac:dyDescent="0.3">
      <c r="A371">
        <v>1837540</v>
      </c>
      <c r="B371" t="s">
        <v>1634</v>
      </c>
      <c r="C371" t="s">
        <v>1635</v>
      </c>
      <c r="D371" t="s">
        <v>1011</v>
      </c>
      <c r="E371" t="s">
        <v>1011</v>
      </c>
      <c r="F371">
        <v>1993</v>
      </c>
      <c r="G371" t="s">
        <v>1050</v>
      </c>
      <c r="H371" t="s">
        <v>1636</v>
      </c>
      <c r="I371" t="s">
        <v>1637</v>
      </c>
      <c r="J371" t="s">
        <v>24</v>
      </c>
      <c r="K371" t="s">
        <v>25</v>
      </c>
      <c r="L371" t="b">
        <v>1</v>
      </c>
      <c r="M371" t="s">
        <v>1638</v>
      </c>
      <c r="N371" t="str">
        <f>"306.87"</f>
        <v>306.87</v>
      </c>
      <c r="O371" t="s">
        <v>1639</v>
      </c>
      <c r="P371" t="b">
        <v>0</v>
      </c>
      <c r="R371" t="str">
        <f>"9780801427886"</f>
        <v>9780801427886</v>
      </c>
      <c r="S371" t="str">
        <f>"9781501724503"</f>
        <v>9781501724503</v>
      </c>
      <c r="T371">
        <v>654402339</v>
      </c>
    </row>
    <row r="372" spans="1:20" x14ac:dyDescent="0.3">
      <c r="A372">
        <v>1837537</v>
      </c>
      <c r="B372" t="s">
        <v>1640</v>
      </c>
      <c r="C372" t="s">
        <v>1641</v>
      </c>
      <c r="D372" t="s">
        <v>1011</v>
      </c>
      <c r="E372" t="s">
        <v>1011</v>
      </c>
      <c r="F372">
        <v>2007</v>
      </c>
      <c r="G372" t="s">
        <v>1642</v>
      </c>
      <c r="H372" t="s">
        <v>1643</v>
      </c>
      <c r="I372" t="s">
        <v>1644</v>
      </c>
      <c r="J372" t="s">
        <v>24</v>
      </c>
      <c r="K372" t="s">
        <v>25</v>
      </c>
      <c r="L372" t="b">
        <v>1</v>
      </c>
      <c r="M372" t="s">
        <v>1645</v>
      </c>
      <c r="N372" t="str">
        <f>"306.4/49498"</f>
        <v>306.4/49498</v>
      </c>
      <c r="P372" t="b">
        <v>0</v>
      </c>
      <c r="R372" t="str">
        <f>"9780801445378"</f>
        <v>9780801445378</v>
      </c>
      <c r="S372" t="str">
        <f>"9781501732386"</f>
        <v>9781501732386</v>
      </c>
      <c r="T372">
        <v>1042220237</v>
      </c>
    </row>
    <row r="373" spans="1:20" x14ac:dyDescent="0.3">
      <c r="A373">
        <v>1837536</v>
      </c>
      <c r="B373" t="s">
        <v>1646</v>
      </c>
      <c r="C373" t="s">
        <v>1647</v>
      </c>
      <c r="D373" t="s">
        <v>1011</v>
      </c>
      <c r="E373" t="s">
        <v>1011</v>
      </c>
      <c r="F373">
        <v>2007</v>
      </c>
      <c r="G373" t="s">
        <v>1573</v>
      </c>
      <c r="H373" t="s">
        <v>1648</v>
      </c>
      <c r="I373" t="s">
        <v>1649</v>
      </c>
      <c r="J373" t="s">
        <v>24</v>
      </c>
      <c r="K373" t="s">
        <v>25</v>
      </c>
      <c r="L373" t="b">
        <v>1</v>
      </c>
      <c r="M373" t="s">
        <v>1650</v>
      </c>
      <c r="N373" t="str">
        <f>"842/.409358"</f>
        <v>842/.409358</v>
      </c>
      <c r="O373" t="s">
        <v>1651</v>
      </c>
      <c r="P373" t="b">
        <v>0</v>
      </c>
      <c r="R373" t="str">
        <f>"9780801445606"</f>
        <v>9780801445606</v>
      </c>
      <c r="S373" t="str">
        <f>"9781501732379"</f>
        <v>9781501732379</v>
      </c>
      <c r="T373">
        <v>608205892</v>
      </c>
    </row>
    <row r="374" spans="1:20" x14ac:dyDescent="0.3">
      <c r="A374">
        <v>1837535</v>
      </c>
      <c r="B374" t="s">
        <v>1652</v>
      </c>
      <c r="C374" t="s">
        <v>1653</v>
      </c>
      <c r="D374" t="s">
        <v>1011</v>
      </c>
      <c r="E374" t="s">
        <v>1011</v>
      </c>
      <c r="F374">
        <v>2006</v>
      </c>
      <c r="G374" t="s">
        <v>1573</v>
      </c>
      <c r="H374" t="s">
        <v>1654</v>
      </c>
      <c r="I374" t="s">
        <v>1655</v>
      </c>
      <c r="J374" t="s">
        <v>24</v>
      </c>
      <c r="K374" t="s">
        <v>25</v>
      </c>
      <c r="L374" t="b">
        <v>1</v>
      </c>
      <c r="M374" t="s">
        <v>1656</v>
      </c>
      <c r="N374" t="str">
        <f>"325.44/36109041"</f>
        <v>325.44/36109041</v>
      </c>
      <c r="P374" t="b">
        <v>0</v>
      </c>
      <c r="R374" t="str">
        <f>"9780801444272"</f>
        <v>9780801444272</v>
      </c>
      <c r="S374" t="str">
        <f>"9781501732324"</f>
        <v>9781501732324</v>
      </c>
      <c r="T374">
        <v>1042220236</v>
      </c>
    </row>
    <row r="375" spans="1:20" x14ac:dyDescent="0.3">
      <c r="A375">
        <v>1837534</v>
      </c>
      <c r="B375" t="s">
        <v>1657</v>
      </c>
      <c r="C375" t="s">
        <v>1658</v>
      </c>
      <c r="D375" t="s">
        <v>1011</v>
      </c>
      <c r="E375" t="s">
        <v>1011</v>
      </c>
      <c r="F375">
        <v>2007</v>
      </c>
      <c r="G375" t="s">
        <v>1046</v>
      </c>
      <c r="H375" t="s">
        <v>1659</v>
      </c>
      <c r="I375" t="s">
        <v>1660</v>
      </c>
      <c r="J375" t="s">
        <v>24</v>
      </c>
      <c r="K375" t="s">
        <v>25</v>
      </c>
      <c r="L375" t="b">
        <v>1</v>
      </c>
      <c r="M375" t="s">
        <v>1661</v>
      </c>
      <c r="N375" t="str">
        <f>"306.85086/31094709034"</f>
        <v>306.85086/31094709034</v>
      </c>
      <c r="O375" t="s">
        <v>1651</v>
      </c>
      <c r="P375" t="b">
        <v>0</v>
      </c>
      <c r="R375" t="str">
        <f>"9780801445422"</f>
        <v>9780801445422</v>
      </c>
      <c r="S375" t="str">
        <f>"9781501732300"</f>
        <v>9781501732300</v>
      </c>
      <c r="T375">
        <v>924270123</v>
      </c>
    </row>
    <row r="376" spans="1:20" x14ac:dyDescent="0.3">
      <c r="A376">
        <v>1837533</v>
      </c>
      <c r="B376" t="s">
        <v>1662</v>
      </c>
      <c r="C376" t="s">
        <v>1663</v>
      </c>
      <c r="D376" t="s">
        <v>1011</v>
      </c>
      <c r="E376" t="s">
        <v>1011</v>
      </c>
      <c r="F376">
        <v>2007</v>
      </c>
      <c r="G376" t="s">
        <v>1664</v>
      </c>
      <c r="H376" t="s">
        <v>1665</v>
      </c>
      <c r="I376" t="s">
        <v>1666</v>
      </c>
      <c r="J376" t="s">
        <v>24</v>
      </c>
      <c r="K376" t="s">
        <v>25</v>
      </c>
      <c r="L376" t="b">
        <v>1</v>
      </c>
      <c r="M376" t="s">
        <v>1667</v>
      </c>
      <c r="N376" t="str">
        <f>"920"</f>
        <v>920</v>
      </c>
      <c r="P376" t="b">
        <v>0</v>
      </c>
      <c r="R376" t="str">
        <f>"9780801445613"</f>
        <v>9780801445613</v>
      </c>
      <c r="S376" t="str">
        <f>"9781501732287"</f>
        <v>9781501732287</v>
      </c>
      <c r="T376">
        <v>1042220258</v>
      </c>
    </row>
    <row r="377" spans="1:20" x14ac:dyDescent="0.3">
      <c r="A377">
        <v>1837531</v>
      </c>
      <c r="B377" t="s">
        <v>1668</v>
      </c>
      <c r="D377" t="s">
        <v>1011</v>
      </c>
      <c r="E377" t="s">
        <v>1011</v>
      </c>
      <c r="F377">
        <v>2005</v>
      </c>
      <c r="G377" t="s">
        <v>1669</v>
      </c>
      <c r="H377" t="s">
        <v>1670</v>
      </c>
      <c r="I377" t="s">
        <v>1671</v>
      </c>
      <c r="J377" t="s">
        <v>24</v>
      </c>
      <c r="K377" t="s">
        <v>25</v>
      </c>
      <c r="L377" t="b">
        <v>1</v>
      </c>
      <c r="M377" t="s">
        <v>1672</v>
      </c>
      <c r="N377" t="str">
        <f>"121"</f>
        <v>121</v>
      </c>
      <c r="P377" t="b">
        <v>0</v>
      </c>
      <c r="R377" t="str">
        <f>"9780801444326"</f>
        <v>9780801444326</v>
      </c>
      <c r="S377" t="str">
        <f>"9781501731730"</f>
        <v>9781501731730</v>
      </c>
      <c r="T377">
        <v>1042220233</v>
      </c>
    </row>
    <row r="378" spans="1:20" x14ac:dyDescent="0.3">
      <c r="A378">
        <v>1837528</v>
      </c>
      <c r="B378" t="s">
        <v>1673</v>
      </c>
      <c r="C378" t="s">
        <v>1674</v>
      </c>
      <c r="D378" t="s">
        <v>1011</v>
      </c>
      <c r="E378" t="s">
        <v>1011</v>
      </c>
      <c r="F378">
        <v>2007</v>
      </c>
      <c r="G378" t="s">
        <v>1588</v>
      </c>
      <c r="H378" t="s">
        <v>1675</v>
      </c>
      <c r="I378" t="s">
        <v>1676</v>
      </c>
      <c r="J378" t="s">
        <v>24</v>
      </c>
      <c r="K378" t="s">
        <v>25</v>
      </c>
      <c r="L378" t="b">
        <v>1</v>
      </c>
      <c r="M378" t="s">
        <v>1677</v>
      </c>
      <c r="N378" t="str">
        <f>"193"</f>
        <v>193</v>
      </c>
      <c r="P378" t="b">
        <v>0</v>
      </c>
      <c r="R378" t="str">
        <f>"9780801444449"</f>
        <v>9780801444449</v>
      </c>
      <c r="S378" t="str">
        <f>"9781501731143"</f>
        <v>9781501731143</v>
      </c>
      <c r="T378">
        <v>1042219985</v>
      </c>
    </row>
    <row r="379" spans="1:20" x14ac:dyDescent="0.3">
      <c r="A379">
        <v>1837527</v>
      </c>
      <c r="B379" t="s">
        <v>1678</v>
      </c>
      <c r="C379" t="s">
        <v>1679</v>
      </c>
      <c r="D379" t="s">
        <v>1011</v>
      </c>
      <c r="E379" t="s">
        <v>1011</v>
      </c>
      <c r="F379">
        <v>2007</v>
      </c>
      <c r="G379" t="s">
        <v>1680</v>
      </c>
      <c r="H379" t="s">
        <v>1681</v>
      </c>
      <c r="I379" t="s">
        <v>1682</v>
      </c>
      <c r="J379" t="s">
        <v>24</v>
      </c>
      <c r="K379" t="s">
        <v>25</v>
      </c>
      <c r="L379" t="b">
        <v>1</v>
      </c>
      <c r="M379" t="s">
        <v>1683</v>
      </c>
      <c r="N379" t="str">
        <f>"333.33/80973"</f>
        <v>333.33/80973</v>
      </c>
      <c r="P379" t="b">
        <v>0</v>
      </c>
      <c r="R379" t="str">
        <f>"9780801445538"</f>
        <v>9780801445538</v>
      </c>
      <c r="S379" t="str">
        <f>"9781501731136"</f>
        <v>9781501731136</v>
      </c>
      <c r="T379">
        <v>1042220266</v>
      </c>
    </row>
    <row r="380" spans="1:20" x14ac:dyDescent="0.3">
      <c r="A380">
        <v>1837525</v>
      </c>
      <c r="B380" t="s">
        <v>1684</v>
      </c>
      <c r="C380" t="s">
        <v>1685</v>
      </c>
      <c r="D380" t="s">
        <v>1011</v>
      </c>
      <c r="E380" t="s">
        <v>1011</v>
      </c>
      <c r="F380">
        <v>2006</v>
      </c>
      <c r="G380" t="s">
        <v>1319</v>
      </c>
      <c r="H380" t="s">
        <v>1686</v>
      </c>
      <c r="I380" t="s">
        <v>1687</v>
      </c>
      <c r="J380" t="s">
        <v>24</v>
      </c>
      <c r="K380" t="s">
        <v>25</v>
      </c>
      <c r="L380" t="b">
        <v>1</v>
      </c>
      <c r="M380" t="s">
        <v>1688</v>
      </c>
      <c r="N380" t="str">
        <f>"381.3/40943"</f>
        <v>381.3/40943</v>
      </c>
      <c r="O380" t="s">
        <v>1334</v>
      </c>
      <c r="P380" t="b">
        <v>0</v>
      </c>
      <c r="R380" t="str">
        <f>"9780801443824"</f>
        <v>9780801443824</v>
      </c>
      <c r="S380" t="str">
        <f>"9781501730030"</f>
        <v>9781501730030</v>
      </c>
      <c r="T380">
        <v>1042220169</v>
      </c>
    </row>
    <row r="381" spans="1:20" x14ac:dyDescent="0.3">
      <c r="A381">
        <v>1837523</v>
      </c>
      <c r="B381" t="s">
        <v>1689</v>
      </c>
      <c r="C381" t="s">
        <v>1690</v>
      </c>
      <c r="D381" t="s">
        <v>1011</v>
      </c>
      <c r="E381" t="s">
        <v>1011</v>
      </c>
      <c r="F381">
        <v>2007</v>
      </c>
      <c r="G381" t="s">
        <v>145</v>
      </c>
      <c r="H381" t="s">
        <v>1691</v>
      </c>
      <c r="I381" t="s">
        <v>1692</v>
      </c>
      <c r="J381" t="s">
        <v>24</v>
      </c>
      <c r="K381" t="s">
        <v>25</v>
      </c>
      <c r="L381" t="b">
        <v>1</v>
      </c>
      <c r="M381" t="s">
        <v>1693</v>
      </c>
      <c r="N381" t="str">
        <f>"820.9/3561"</f>
        <v>820.9/3561</v>
      </c>
      <c r="P381" t="b">
        <v>0</v>
      </c>
      <c r="R381" t="str">
        <f>"9780801445095"</f>
        <v>9780801445095</v>
      </c>
      <c r="S381" t="str">
        <f>"9781501729973"</f>
        <v>9781501729973</v>
      </c>
      <c r="T381">
        <v>608420558</v>
      </c>
    </row>
    <row r="382" spans="1:20" x14ac:dyDescent="0.3">
      <c r="A382">
        <v>1837521</v>
      </c>
      <c r="B382" t="s">
        <v>1694</v>
      </c>
      <c r="C382" t="s">
        <v>1695</v>
      </c>
      <c r="D382" t="s">
        <v>1011</v>
      </c>
      <c r="E382" t="s">
        <v>1011</v>
      </c>
      <c r="F382">
        <v>2007</v>
      </c>
      <c r="G382" t="s">
        <v>713</v>
      </c>
      <c r="H382" t="s">
        <v>1696</v>
      </c>
      <c r="I382" t="s">
        <v>1697</v>
      </c>
      <c r="J382" t="s">
        <v>24</v>
      </c>
      <c r="K382" t="s">
        <v>25</v>
      </c>
      <c r="L382" t="b">
        <v>1</v>
      </c>
      <c r="M382" t="s">
        <v>1698</v>
      </c>
      <c r="N382" t="str">
        <f>"174/.4"</f>
        <v>174/.4</v>
      </c>
      <c r="P382" t="b">
        <v>0</v>
      </c>
      <c r="R382" t="str">
        <f>"9780801444739"</f>
        <v>9780801444739</v>
      </c>
      <c r="S382" t="str">
        <f>"9781501729881"</f>
        <v>9781501729881</v>
      </c>
      <c r="T382">
        <v>1042220026</v>
      </c>
    </row>
    <row r="383" spans="1:20" x14ac:dyDescent="0.3">
      <c r="A383">
        <v>1837518</v>
      </c>
      <c r="B383" t="s">
        <v>1699</v>
      </c>
      <c r="C383" t="s">
        <v>1700</v>
      </c>
      <c r="D383" t="s">
        <v>1011</v>
      </c>
      <c r="E383" t="s">
        <v>1011</v>
      </c>
      <c r="F383">
        <v>2004</v>
      </c>
      <c r="G383" t="s">
        <v>1642</v>
      </c>
      <c r="H383" t="s">
        <v>1701</v>
      </c>
      <c r="I383" t="s">
        <v>1702</v>
      </c>
      <c r="J383" t="s">
        <v>24</v>
      </c>
      <c r="K383" t="s">
        <v>25</v>
      </c>
      <c r="L383" t="b">
        <v>1</v>
      </c>
      <c r="M383" t="s">
        <v>1703</v>
      </c>
      <c r="N383" t="str">
        <f>"320.947/22"</f>
        <v>320.947/22</v>
      </c>
      <c r="P383" t="b">
        <v>0</v>
      </c>
      <c r="R383" t="str">
        <f>"9780801442940"</f>
        <v>9780801442940</v>
      </c>
      <c r="S383" t="str">
        <f>"9781501729430"</f>
        <v>9781501729430</v>
      </c>
      <c r="T383">
        <v>645918335</v>
      </c>
    </row>
    <row r="384" spans="1:20" x14ac:dyDescent="0.3">
      <c r="A384">
        <v>1837516</v>
      </c>
      <c r="B384" t="s">
        <v>1704</v>
      </c>
      <c r="D384" t="s">
        <v>1011</v>
      </c>
      <c r="E384" t="s">
        <v>1011</v>
      </c>
      <c r="F384">
        <v>2005</v>
      </c>
      <c r="G384" t="s">
        <v>1705</v>
      </c>
      <c r="H384" t="s">
        <v>1706</v>
      </c>
      <c r="I384" t="s">
        <v>1707</v>
      </c>
      <c r="J384" t="s">
        <v>24</v>
      </c>
      <c r="K384" t="s">
        <v>25</v>
      </c>
      <c r="L384" t="b">
        <v>1</v>
      </c>
      <c r="M384" t="s">
        <v>1708</v>
      </c>
      <c r="N384" t="str">
        <f>"892.4/09325"</f>
        <v>892.4/09325</v>
      </c>
      <c r="P384" t="b">
        <v>0</v>
      </c>
      <c r="R384" t="str">
        <f>"9780801443763"</f>
        <v>9780801443763</v>
      </c>
      <c r="S384" t="str">
        <f>"9781501729355"</f>
        <v>9781501729355</v>
      </c>
      <c r="T384">
        <v>1042220271</v>
      </c>
    </row>
    <row r="385" spans="1:20" x14ac:dyDescent="0.3">
      <c r="A385">
        <v>1837514</v>
      </c>
      <c r="B385" t="s">
        <v>1709</v>
      </c>
      <c r="C385" t="s">
        <v>1710</v>
      </c>
      <c r="D385" t="s">
        <v>1011</v>
      </c>
      <c r="E385" t="s">
        <v>1011</v>
      </c>
      <c r="F385">
        <v>2008</v>
      </c>
      <c r="G385" t="s">
        <v>1319</v>
      </c>
      <c r="H385" t="s">
        <v>1711</v>
      </c>
      <c r="I385" t="s">
        <v>1712</v>
      </c>
      <c r="J385" t="s">
        <v>24</v>
      </c>
      <c r="K385" t="s">
        <v>25</v>
      </c>
      <c r="L385" t="b">
        <v>1</v>
      </c>
      <c r="M385" t="s">
        <v>1713</v>
      </c>
      <c r="N385" t="str">
        <f>"342.2408/58"</f>
        <v>342.2408/58</v>
      </c>
      <c r="P385" t="b">
        <v>0</v>
      </c>
      <c r="R385" t="str">
        <f>"9780801445491"</f>
        <v>9780801445491</v>
      </c>
      <c r="S385" t="str">
        <f>"9781501729218"</f>
        <v>9781501729218</v>
      </c>
      <c r="T385">
        <v>681267988</v>
      </c>
    </row>
    <row r="386" spans="1:20" x14ac:dyDescent="0.3">
      <c r="A386">
        <v>1837512</v>
      </c>
      <c r="B386" t="s">
        <v>1714</v>
      </c>
      <c r="C386" t="s">
        <v>1715</v>
      </c>
      <c r="D386" t="s">
        <v>1011</v>
      </c>
      <c r="E386" t="s">
        <v>1011</v>
      </c>
      <c r="F386">
        <v>2005</v>
      </c>
      <c r="G386" t="s">
        <v>1716</v>
      </c>
      <c r="H386" t="s">
        <v>1717</v>
      </c>
      <c r="I386" t="s">
        <v>1718</v>
      </c>
      <c r="J386" t="s">
        <v>24</v>
      </c>
      <c r="K386" t="s">
        <v>25</v>
      </c>
      <c r="L386" t="b">
        <v>1</v>
      </c>
      <c r="M386" t="s">
        <v>1719</v>
      </c>
      <c r="N386" t="str">
        <f>"741.2"</f>
        <v>741.2</v>
      </c>
      <c r="P386" t="b">
        <v>0</v>
      </c>
      <c r="R386" t="str">
        <f>"9780801443244"</f>
        <v>9780801443244</v>
      </c>
      <c r="S386" t="str">
        <f>"9781501728624"</f>
        <v>9781501728624</v>
      </c>
      <c r="T386">
        <v>607711701</v>
      </c>
    </row>
    <row r="387" spans="1:20" x14ac:dyDescent="0.3">
      <c r="A387">
        <v>1837511</v>
      </c>
      <c r="B387" t="s">
        <v>1720</v>
      </c>
      <c r="C387" t="s">
        <v>1721</v>
      </c>
      <c r="D387" t="s">
        <v>1011</v>
      </c>
      <c r="E387" t="s">
        <v>1011</v>
      </c>
      <c r="F387">
        <v>2006</v>
      </c>
      <c r="G387" t="s">
        <v>1313</v>
      </c>
      <c r="H387" t="s">
        <v>1722</v>
      </c>
      <c r="I387" t="s">
        <v>1723</v>
      </c>
      <c r="J387" t="s">
        <v>24</v>
      </c>
      <c r="K387" t="s">
        <v>25</v>
      </c>
      <c r="L387" t="b">
        <v>1</v>
      </c>
      <c r="M387" t="s">
        <v>1724</v>
      </c>
      <c r="N387" t="str">
        <f>"822/.3093522"</f>
        <v>822/.3093522</v>
      </c>
      <c r="P387" t="b">
        <v>0</v>
      </c>
      <c r="R387" t="str">
        <f>"9780801444470"</f>
        <v>9780801444470</v>
      </c>
      <c r="S387" t="str">
        <f>"9781501728525"</f>
        <v>9781501728525</v>
      </c>
      <c r="T387">
        <v>1042220184</v>
      </c>
    </row>
    <row r="388" spans="1:20" x14ac:dyDescent="0.3">
      <c r="A388">
        <v>1837508</v>
      </c>
      <c r="B388" t="s">
        <v>1725</v>
      </c>
      <c r="C388" t="s">
        <v>1726</v>
      </c>
      <c r="D388" t="s">
        <v>1011</v>
      </c>
      <c r="E388" t="s">
        <v>1011</v>
      </c>
      <c r="F388">
        <v>2005</v>
      </c>
      <c r="G388" t="s">
        <v>1727</v>
      </c>
      <c r="H388" t="s">
        <v>1728</v>
      </c>
      <c r="I388" t="s">
        <v>1729</v>
      </c>
      <c r="J388" t="s">
        <v>24</v>
      </c>
      <c r="K388" t="s">
        <v>25</v>
      </c>
      <c r="L388" t="b">
        <v>1</v>
      </c>
      <c r="M388" t="s">
        <v>1730</v>
      </c>
      <c r="N388" t="str">
        <f>"342.73029"</f>
        <v>342.73029</v>
      </c>
      <c r="P388" t="b">
        <v>0</v>
      </c>
      <c r="R388" t="str">
        <f>"9780801435584"</f>
        <v>9780801435584</v>
      </c>
      <c r="S388" t="str">
        <f>"9781501728334"</f>
        <v>9781501728334</v>
      </c>
      <c r="T388">
        <v>1042220168</v>
      </c>
    </row>
    <row r="389" spans="1:20" x14ac:dyDescent="0.3">
      <c r="A389">
        <v>1837504</v>
      </c>
      <c r="B389" t="s">
        <v>1731</v>
      </c>
      <c r="C389" t="s">
        <v>1732</v>
      </c>
      <c r="D389" t="s">
        <v>1011</v>
      </c>
      <c r="E389" t="s">
        <v>1011</v>
      </c>
      <c r="F389">
        <v>2007</v>
      </c>
      <c r="G389" t="s">
        <v>1733</v>
      </c>
      <c r="H389" t="s">
        <v>1734</v>
      </c>
      <c r="I389" t="s">
        <v>1735</v>
      </c>
      <c r="J389" t="s">
        <v>24</v>
      </c>
      <c r="K389" t="s">
        <v>25</v>
      </c>
      <c r="L389" t="b">
        <v>1</v>
      </c>
      <c r="M389" t="s">
        <v>1736</v>
      </c>
      <c r="N389" t="str">
        <f>"780.9/02"</f>
        <v>780.9/02</v>
      </c>
      <c r="P389" t="b">
        <v>0</v>
      </c>
      <c r="R389" t="str">
        <f>"9780801444913"</f>
        <v>9780801444913</v>
      </c>
      <c r="S389" t="str">
        <f>"9781501727573"</f>
        <v>9781501727573</v>
      </c>
      <c r="T389">
        <v>1042329563</v>
      </c>
    </row>
    <row r="390" spans="1:20" x14ac:dyDescent="0.3">
      <c r="A390">
        <v>1837502</v>
      </c>
      <c r="B390" t="s">
        <v>1737</v>
      </c>
      <c r="C390" t="s">
        <v>1738</v>
      </c>
      <c r="D390" t="s">
        <v>1011</v>
      </c>
      <c r="E390" t="s">
        <v>1011</v>
      </c>
      <c r="F390">
        <v>2006</v>
      </c>
      <c r="G390" t="s">
        <v>1739</v>
      </c>
      <c r="H390" t="s">
        <v>1740</v>
      </c>
      <c r="I390" t="s">
        <v>1741</v>
      </c>
      <c r="J390" t="s">
        <v>24</v>
      </c>
      <c r="K390" t="s">
        <v>25</v>
      </c>
      <c r="L390" t="b">
        <v>1</v>
      </c>
      <c r="M390" t="s">
        <v>1742</v>
      </c>
      <c r="N390" t="str">
        <f>"322.4/3"</f>
        <v>322.4/3</v>
      </c>
      <c r="O390" t="s">
        <v>1639</v>
      </c>
      <c r="P390" t="b">
        <v>0</v>
      </c>
      <c r="R390" t="str">
        <f>"9780801445071"</f>
        <v>9780801445071</v>
      </c>
      <c r="S390" t="str">
        <f>"9781501727290"</f>
        <v>9781501727290</v>
      </c>
      <c r="T390">
        <v>1042220196</v>
      </c>
    </row>
    <row r="391" spans="1:20" x14ac:dyDescent="0.3">
      <c r="A391">
        <v>1837500</v>
      </c>
      <c r="B391" t="s">
        <v>1743</v>
      </c>
      <c r="C391" t="s">
        <v>1744</v>
      </c>
      <c r="D391" t="s">
        <v>1011</v>
      </c>
      <c r="E391" t="s">
        <v>1011</v>
      </c>
      <c r="F391">
        <v>2006</v>
      </c>
      <c r="G391" t="s">
        <v>1745</v>
      </c>
      <c r="H391" t="s">
        <v>1746</v>
      </c>
      <c r="I391" t="s">
        <v>1747</v>
      </c>
      <c r="J391" t="s">
        <v>24</v>
      </c>
      <c r="K391" t="s">
        <v>25</v>
      </c>
      <c r="L391" t="b">
        <v>1</v>
      </c>
      <c r="M391" t="s">
        <v>1748</v>
      </c>
      <c r="N391" t="str">
        <f>"331.702/0973"</f>
        <v>331.702/0973</v>
      </c>
      <c r="O391" t="s">
        <v>1749</v>
      </c>
      <c r="P391" t="b">
        <v>0</v>
      </c>
      <c r="R391" t="str">
        <f>"9780801444135"</f>
        <v>9780801444135</v>
      </c>
      <c r="S391" t="str">
        <f>"9781501727184"</f>
        <v>9781501727184</v>
      </c>
      <c r="T391">
        <v>1036735793</v>
      </c>
    </row>
    <row r="392" spans="1:20" x14ac:dyDescent="0.3">
      <c r="A392">
        <v>1837499</v>
      </c>
      <c r="B392" t="s">
        <v>1750</v>
      </c>
      <c r="C392" t="s">
        <v>1751</v>
      </c>
      <c r="D392" t="s">
        <v>1011</v>
      </c>
      <c r="E392" t="s">
        <v>1011</v>
      </c>
      <c r="F392">
        <v>2004</v>
      </c>
      <c r="G392" t="s">
        <v>1752</v>
      </c>
      <c r="H392" t="s">
        <v>1753</v>
      </c>
      <c r="I392" t="s">
        <v>1754</v>
      </c>
      <c r="J392" t="s">
        <v>24</v>
      </c>
      <c r="K392" t="s">
        <v>25</v>
      </c>
      <c r="L392" t="b">
        <v>1</v>
      </c>
      <c r="M392" t="s">
        <v>1755</v>
      </c>
      <c r="N392" t="str">
        <f>"362.5/0973"</f>
        <v>362.5/0973</v>
      </c>
      <c r="P392" t="b">
        <v>0</v>
      </c>
      <c r="R392" t="str">
        <f>"9780801441240"</f>
        <v>9780801441240</v>
      </c>
      <c r="S392" t="str">
        <f>"9781501727160"</f>
        <v>9781501727160</v>
      </c>
      <c r="T392">
        <v>645386917</v>
      </c>
    </row>
    <row r="393" spans="1:20" x14ac:dyDescent="0.3">
      <c r="A393">
        <v>1837498</v>
      </c>
      <c r="B393" t="s">
        <v>1756</v>
      </c>
      <c r="D393" t="s">
        <v>1011</v>
      </c>
      <c r="E393" t="s">
        <v>1011</v>
      </c>
      <c r="F393">
        <v>2006</v>
      </c>
      <c r="G393" t="s">
        <v>889</v>
      </c>
      <c r="H393" t="s">
        <v>1757</v>
      </c>
      <c r="I393" t="s">
        <v>1758</v>
      </c>
      <c r="J393" t="s">
        <v>24</v>
      </c>
      <c r="K393" t="s">
        <v>25</v>
      </c>
      <c r="L393" t="b">
        <v>1</v>
      </c>
      <c r="M393" t="s">
        <v>1759</v>
      </c>
      <c r="N393" t="str">
        <f>"368.38/2"</f>
        <v>368.38/2</v>
      </c>
      <c r="P393" t="b">
        <v>0</v>
      </c>
      <c r="R393" t="str">
        <f>"9780801444173"</f>
        <v>9780801444173</v>
      </c>
      <c r="S393" t="str">
        <f>"9781501727153"</f>
        <v>9781501727153</v>
      </c>
      <c r="T393">
        <v>1042219984</v>
      </c>
    </row>
    <row r="394" spans="1:20" x14ac:dyDescent="0.3">
      <c r="A394">
        <v>1837497</v>
      </c>
      <c r="B394" t="s">
        <v>1760</v>
      </c>
      <c r="C394" t="s">
        <v>1761</v>
      </c>
      <c r="D394" t="s">
        <v>1011</v>
      </c>
      <c r="E394" t="s">
        <v>1011</v>
      </c>
      <c r="F394">
        <v>2007</v>
      </c>
      <c r="G394" t="s">
        <v>1762</v>
      </c>
      <c r="H394" t="s">
        <v>1763</v>
      </c>
      <c r="I394" t="s">
        <v>1764</v>
      </c>
      <c r="J394" t="s">
        <v>24</v>
      </c>
      <c r="K394" t="s">
        <v>25</v>
      </c>
      <c r="L394" t="b">
        <v>1</v>
      </c>
      <c r="M394" t="s">
        <v>1765</v>
      </c>
      <c r="N394" t="str">
        <f>"809.933538"</f>
        <v>809.933538</v>
      </c>
      <c r="P394" t="b">
        <v>0</v>
      </c>
      <c r="R394" t="str">
        <f>"9780801443794"</f>
        <v>9780801443794</v>
      </c>
      <c r="S394" t="str">
        <f>"9781501727061"</f>
        <v>9781501727061</v>
      </c>
      <c r="T394">
        <v>1036803863</v>
      </c>
    </row>
    <row r="395" spans="1:20" x14ac:dyDescent="0.3">
      <c r="A395">
        <v>1837495</v>
      </c>
      <c r="B395" t="s">
        <v>1766</v>
      </c>
      <c r="C395" t="s">
        <v>1767</v>
      </c>
      <c r="D395" t="s">
        <v>1011</v>
      </c>
      <c r="E395" t="s">
        <v>1011</v>
      </c>
      <c r="F395">
        <v>2008</v>
      </c>
      <c r="G395" t="s">
        <v>174</v>
      </c>
      <c r="H395" t="s">
        <v>1768</v>
      </c>
      <c r="I395" t="s">
        <v>1769</v>
      </c>
      <c r="J395" t="s">
        <v>24</v>
      </c>
      <c r="K395" t="s">
        <v>25</v>
      </c>
      <c r="L395" t="b">
        <v>1</v>
      </c>
      <c r="M395" t="s">
        <v>1770</v>
      </c>
      <c r="N395" t="str">
        <f>"813/.5409357"</f>
        <v>813/.5409357</v>
      </c>
      <c r="P395" t="b">
        <v>0</v>
      </c>
      <c r="R395" t="str">
        <f>"9780801446139"</f>
        <v>9780801446139</v>
      </c>
      <c r="S395" t="str">
        <f>"9781501727047"</f>
        <v>9781501727047</v>
      </c>
      <c r="T395">
        <v>608489109</v>
      </c>
    </row>
    <row r="396" spans="1:20" x14ac:dyDescent="0.3">
      <c r="A396">
        <v>1837494</v>
      </c>
      <c r="B396" t="s">
        <v>1771</v>
      </c>
      <c r="C396" t="s">
        <v>1772</v>
      </c>
      <c r="D396" t="s">
        <v>1011</v>
      </c>
      <c r="E396" t="s">
        <v>1011</v>
      </c>
      <c r="F396">
        <v>2007</v>
      </c>
      <c r="G396" t="s">
        <v>1325</v>
      </c>
      <c r="H396" t="s">
        <v>1773</v>
      </c>
      <c r="I396" t="s">
        <v>1774</v>
      </c>
      <c r="J396" t="s">
        <v>24</v>
      </c>
      <c r="K396" t="s">
        <v>25</v>
      </c>
      <c r="L396" t="b">
        <v>1</v>
      </c>
      <c r="M396" t="s">
        <v>1775</v>
      </c>
      <c r="N396" t="str">
        <f>"823.009/355"</f>
        <v>823.009/355</v>
      </c>
      <c r="P396" t="b">
        <v>0</v>
      </c>
      <c r="R396" t="str">
        <f>"9780801444807"</f>
        <v>9780801444807</v>
      </c>
      <c r="S396" t="str">
        <f>"9781501727016"</f>
        <v>9781501727016</v>
      </c>
      <c r="T396">
        <v>608025895</v>
      </c>
    </row>
    <row r="397" spans="1:20" x14ac:dyDescent="0.3">
      <c r="A397">
        <v>1837493</v>
      </c>
      <c r="B397" t="s">
        <v>1776</v>
      </c>
      <c r="C397" t="s">
        <v>1777</v>
      </c>
      <c r="D397" t="s">
        <v>1011</v>
      </c>
      <c r="E397" t="s">
        <v>1011</v>
      </c>
      <c r="F397">
        <v>2006</v>
      </c>
      <c r="G397" t="s">
        <v>1778</v>
      </c>
      <c r="H397" t="s">
        <v>1779</v>
      </c>
      <c r="I397" t="s">
        <v>1780</v>
      </c>
      <c r="J397" t="s">
        <v>24</v>
      </c>
      <c r="K397" t="s">
        <v>25</v>
      </c>
      <c r="L397" t="b">
        <v>1</v>
      </c>
      <c r="M397" t="s">
        <v>1781</v>
      </c>
      <c r="N397" t="str">
        <f>"702/.874"</f>
        <v>702/.874</v>
      </c>
      <c r="P397" t="b">
        <v>0</v>
      </c>
      <c r="R397" t="str">
        <f>"9780801444609"</f>
        <v>9780801444609</v>
      </c>
      <c r="S397" t="str">
        <f>"9781501726873"</f>
        <v>9781501726873</v>
      </c>
      <c r="T397">
        <v>607760801</v>
      </c>
    </row>
    <row r="398" spans="1:20" x14ac:dyDescent="0.3">
      <c r="A398">
        <v>1837492</v>
      </c>
      <c r="B398" t="s">
        <v>1782</v>
      </c>
      <c r="C398" t="s">
        <v>1783</v>
      </c>
      <c r="D398" t="s">
        <v>1011</v>
      </c>
      <c r="E398" t="s">
        <v>1011</v>
      </c>
      <c r="F398">
        <v>2006</v>
      </c>
      <c r="G398" t="s">
        <v>1284</v>
      </c>
      <c r="H398" t="s">
        <v>1784</v>
      </c>
      <c r="I398" t="s">
        <v>1785</v>
      </c>
      <c r="J398" t="s">
        <v>24</v>
      </c>
      <c r="K398" t="s">
        <v>25</v>
      </c>
      <c r="L398" t="b">
        <v>1</v>
      </c>
      <c r="M398" t="s">
        <v>1786</v>
      </c>
      <c r="N398" t="str">
        <f>"128/.3"</f>
        <v>128/.3</v>
      </c>
      <c r="P398" t="b">
        <v>0</v>
      </c>
      <c r="R398" t="str">
        <f>"9780801444364"</f>
        <v>9780801444364</v>
      </c>
      <c r="S398" t="str">
        <f>"9781501726866"</f>
        <v>9781501726866</v>
      </c>
      <c r="T398">
        <v>1042220255</v>
      </c>
    </row>
    <row r="399" spans="1:20" x14ac:dyDescent="0.3">
      <c r="A399">
        <v>1837491</v>
      </c>
      <c r="B399" t="s">
        <v>1787</v>
      </c>
      <c r="D399" t="s">
        <v>1011</v>
      </c>
      <c r="E399" t="s">
        <v>1011</v>
      </c>
      <c r="F399">
        <v>2006</v>
      </c>
      <c r="G399" t="s">
        <v>1054</v>
      </c>
      <c r="H399" t="s">
        <v>1788</v>
      </c>
      <c r="I399" t="s">
        <v>1789</v>
      </c>
      <c r="J399" t="s">
        <v>24</v>
      </c>
      <c r="K399" t="s">
        <v>25</v>
      </c>
      <c r="L399" t="b">
        <v>1</v>
      </c>
      <c r="M399" t="s">
        <v>1790</v>
      </c>
      <c r="N399" t="str">
        <f>"822.3/3"</f>
        <v>822.3/3</v>
      </c>
      <c r="P399" t="b">
        <v>0</v>
      </c>
      <c r="R399" t="str">
        <f>"9780801444753"</f>
        <v>9780801444753</v>
      </c>
      <c r="S399" t="str">
        <f>"9781501726859"</f>
        <v>9781501726859</v>
      </c>
      <c r="T399">
        <v>1042329183</v>
      </c>
    </row>
    <row r="400" spans="1:20" x14ac:dyDescent="0.3">
      <c r="A400">
        <v>1837490</v>
      </c>
      <c r="B400" t="s">
        <v>1791</v>
      </c>
      <c r="D400" t="s">
        <v>1011</v>
      </c>
      <c r="E400" t="s">
        <v>1011</v>
      </c>
      <c r="F400">
        <v>2006</v>
      </c>
      <c r="G400" t="s">
        <v>641</v>
      </c>
      <c r="H400" t="s">
        <v>1792</v>
      </c>
      <c r="I400" t="s">
        <v>1793</v>
      </c>
      <c r="J400" t="s">
        <v>24</v>
      </c>
      <c r="K400" t="s">
        <v>25</v>
      </c>
      <c r="L400" t="b">
        <v>1</v>
      </c>
      <c r="M400" t="s">
        <v>1794</v>
      </c>
      <c r="N400" t="str">
        <f>"613.0945"</f>
        <v>613.0945</v>
      </c>
      <c r="P400" t="b">
        <v>0</v>
      </c>
      <c r="R400" t="str">
        <f>"9780801444814"</f>
        <v>9780801444814</v>
      </c>
      <c r="S400" t="str">
        <f>"9781501726842"</f>
        <v>9781501726842</v>
      </c>
      <c r="T400">
        <v>1042220214</v>
      </c>
    </row>
    <row r="401" spans="1:20" x14ac:dyDescent="0.3">
      <c r="A401">
        <v>1837489</v>
      </c>
      <c r="B401" t="s">
        <v>1795</v>
      </c>
      <c r="C401" t="s">
        <v>1796</v>
      </c>
      <c r="D401" t="s">
        <v>1011</v>
      </c>
      <c r="E401" t="s">
        <v>1011</v>
      </c>
      <c r="F401">
        <v>2006</v>
      </c>
      <c r="G401" t="s">
        <v>1778</v>
      </c>
      <c r="H401" t="s">
        <v>1797</v>
      </c>
      <c r="I401" t="s">
        <v>1798</v>
      </c>
      <c r="J401" t="s">
        <v>24</v>
      </c>
      <c r="K401" t="s">
        <v>25</v>
      </c>
      <c r="L401" t="b">
        <v>1</v>
      </c>
      <c r="M401" t="s">
        <v>1799</v>
      </c>
      <c r="N401" t="str">
        <f>"809/.933552"</f>
        <v>809/.933552</v>
      </c>
      <c r="P401" t="b">
        <v>0</v>
      </c>
      <c r="R401" t="str">
        <f>"9780801443848"</f>
        <v>9780801443848</v>
      </c>
      <c r="S401" t="str">
        <f>"9781501726835"</f>
        <v>9781501726835</v>
      </c>
      <c r="T401">
        <v>1043341066</v>
      </c>
    </row>
    <row r="402" spans="1:20" x14ac:dyDescent="0.3">
      <c r="A402">
        <v>1837488</v>
      </c>
      <c r="B402" t="s">
        <v>1800</v>
      </c>
      <c r="C402" t="s">
        <v>1801</v>
      </c>
      <c r="D402" t="s">
        <v>1011</v>
      </c>
      <c r="E402" t="s">
        <v>1011</v>
      </c>
      <c r="F402">
        <v>2006</v>
      </c>
      <c r="G402" t="s">
        <v>1319</v>
      </c>
      <c r="H402" t="s">
        <v>1802</v>
      </c>
      <c r="I402" t="s">
        <v>1803</v>
      </c>
      <c r="J402" t="s">
        <v>24</v>
      </c>
      <c r="K402" t="s">
        <v>25</v>
      </c>
      <c r="L402" t="b">
        <v>1</v>
      </c>
      <c r="M402" t="s">
        <v>1804</v>
      </c>
      <c r="N402" t="str">
        <f>"338.947/05"</f>
        <v>338.947/05</v>
      </c>
      <c r="P402" t="b">
        <v>0</v>
      </c>
      <c r="R402" t="str">
        <f>"9780801444340"</f>
        <v>9780801444340</v>
      </c>
      <c r="S402" t="str">
        <f>"9781501726750"</f>
        <v>9781501726750</v>
      </c>
      <c r="T402">
        <v>1042220210</v>
      </c>
    </row>
    <row r="403" spans="1:20" x14ac:dyDescent="0.3">
      <c r="A403">
        <v>1837484</v>
      </c>
      <c r="B403" t="s">
        <v>1805</v>
      </c>
      <c r="C403" t="s">
        <v>1806</v>
      </c>
      <c r="D403" t="s">
        <v>1011</v>
      </c>
      <c r="E403" t="s">
        <v>1011</v>
      </c>
      <c r="F403">
        <v>2006</v>
      </c>
      <c r="G403" t="s">
        <v>1319</v>
      </c>
      <c r="H403" t="s">
        <v>1807</v>
      </c>
      <c r="I403" t="s">
        <v>1808</v>
      </c>
      <c r="J403" t="s">
        <v>24</v>
      </c>
      <c r="K403" t="s">
        <v>25</v>
      </c>
      <c r="L403" t="b">
        <v>1</v>
      </c>
      <c r="M403" t="s">
        <v>1809</v>
      </c>
      <c r="N403" t="str">
        <f>"332/.042"</f>
        <v>332/.042</v>
      </c>
      <c r="O403" t="s">
        <v>1334</v>
      </c>
      <c r="P403" t="b">
        <v>0</v>
      </c>
      <c r="R403" t="str">
        <f>"9780801443800"</f>
        <v>9780801443800</v>
      </c>
      <c r="S403" t="str">
        <f>"9781501726644"</f>
        <v>9781501726644</v>
      </c>
      <c r="T403">
        <v>1042220172</v>
      </c>
    </row>
    <row r="404" spans="1:20" x14ac:dyDescent="0.3">
      <c r="A404">
        <v>1837483</v>
      </c>
      <c r="B404" t="s">
        <v>1810</v>
      </c>
      <c r="C404" t="s">
        <v>1811</v>
      </c>
      <c r="D404" t="s">
        <v>1011</v>
      </c>
      <c r="E404" t="s">
        <v>1011</v>
      </c>
      <c r="F404">
        <v>2006</v>
      </c>
      <c r="G404" t="s">
        <v>1319</v>
      </c>
      <c r="H404" t="s">
        <v>1812</v>
      </c>
      <c r="I404" t="s">
        <v>1813</v>
      </c>
      <c r="J404" t="s">
        <v>24</v>
      </c>
      <c r="K404" t="s">
        <v>25</v>
      </c>
      <c r="L404" t="b">
        <v>1</v>
      </c>
      <c r="M404" t="s">
        <v>1814</v>
      </c>
      <c r="N404" t="str">
        <f>"330.12/6"</f>
        <v>330.12/6</v>
      </c>
      <c r="O404" t="s">
        <v>1334</v>
      </c>
      <c r="P404" t="b">
        <v>0</v>
      </c>
      <c r="R404" t="str">
        <f>"9780801444203"</f>
        <v>9780801444203</v>
      </c>
      <c r="S404" t="str">
        <f>"9781501726637"</f>
        <v>9781501726637</v>
      </c>
      <c r="T404">
        <v>1042220199</v>
      </c>
    </row>
    <row r="405" spans="1:20" x14ac:dyDescent="0.3">
      <c r="A405">
        <v>1837480</v>
      </c>
      <c r="B405" t="s">
        <v>1815</v>
      </c>
      <c r="C405" t="s">
        <v>1816</v>
      </c>
      <c r="D405" t="s">
        <v>1011</v>
      </c>
      <c r="E405" t="s">
        <v>1011</v>
      </c>
      <c r="F405">
        <v>2005</v>
      </c>
      <c r="G405" t="s">
        <v>1817</v>
      </c>
      <c r="H405" t="s">
        <v>1818</v>
      </c>
      <c r="J405" t="s">
        <v>24</v>
      </c>
      <c r="K405" t="s">
        <v>25</v>
      </c>
      <c r="L405" t="b">
        <v>1</v>
      </c>
      <c r="M405" t="s">
        <v>1819</v>
      </c>
      <c r="N405" t="str">
        <f>"882/.01"</f>
        <v>882/.01</v>
      </c>
      <c r="P405" t="b">
        <v>0</v>
      </c>
      <c r="R405" t="str">
        <f>"9780801443299"</f>
        <v>9780801443299</v>
      </c>
      <c r="S405" t="str">
        <f>"9781501725388"</f>
        <v>9781501725388</v>
      </c>
      <c r="T405">
        <v>1042220197</v>
      </c>
    </row>
    <row r="406" spans="1:20" x14ac:dyDescent="0.3">
      <c r="A406">
        <v>1837479</v>
      </c>
      <c r="B406" t="s">
        <v>1820</v>
      </c>
      <c r="D406" t="s">
        <v>1011</v>
      </c>
      <c r="E406" t="s">
        <v>1011</v>
      </c>
      <c r="F406">
        <v>1999</v>
      </c>
      <c r="G406" t="s">
        <v>540</v>
      </c>
      <c r="H406" t="s">
        <v>1821</v>
      </c>
      <c r="I406" t="s">
        <v>1822</v>
      </c>
      <c r="J406" t="s">
        <v>24</v>
      </c>
      <c r="K406" t="s">
        <v>25</v>
      </c>
      <c r="L406" t="b">
        <v>1</v>
      </c>
      <c r="M406" t="s">
        <v>1823</v>
      </c>
      <c r="N406" t="str">
        <f>"843/.912"</f>
        <v>843/.912</v>
      </c>
      <c r="P406" t="b">
        <v>0</v>
      </c>
      <c r="R406" t="str">
        <f>"9780801435959"</f>
        <v>9780801435959</v>
      </c>
      <c r="S406" t="str">
        <f>"9781501724442"</f>
        <v>9781501724442</v>
      </c>
      <c r="T406">
        <v>1045001895</v>
      </c>
    </row>
    <row r="407" spans="1:20" x14ac:dyDescent="0.3">
      <c r="A407">
        <v>1837477</v>
      </c>
      <c r="B407" t="s">
        <v>1824</v>
      </c>
      <c r="C407" t="s">
        <v>1825</v>
      </c>
      <c r="D407" t="s">
        <v>1011</v>
      </c>
      <c r="E407" t="s">
        <v>1011</v>
      </c>
      <c r="F407">
        <v>2004</v>
      </c>
      <c r="G407" t="s">
        <v>1588</v>
      </c>
      <c r="H407" t="s">
        <v>1826</v>
      </c>
      <c r="I407" t="s">
        <v>1827</v>
      </c>
      <c r="J407" t="s">
        <v>24</v>
      </c>
      <c r="K407" t="s">
        <v>25</v>
      </c>
      <c r="L407" t="b">
        <v>1</v>
      </c>
      <c r="M407" t="s">
        <v>1828</v>
      </c>
      <c r="N407" t="str">
        <f>"121"</f>
        <v>121</v>
      </c>
      <c r="P407" t="b">
        <v>0</v>
      </c>
      <c r="R407" t="str">
        <f>"9780801442902"</f>
        <v>9780801442902</v>
      </c>
      <c r="S407" t="str">
        <f>"9781501719561"</f>
        <v>9781501719561</v>
      </c>
      <c r="T407">
        <v>1042219830</v>
      </c>
    </row>
    <row r="408" spans="1:20" x14ac:dyDescent="0.3">
      <c r="A408">
        <v>1837476</v>
      </c>
      <c r="B408" t="s">
        <v>1829</v>
      </c>
      <c r="C408" t="s">
        <v>1830</v>
      </c>
      <c r="D408" t="s">
        <v>1011</v>
      </c>
      <c r="E408" t="s">
        <v>1011</v>
      </c>
      <c r="F408">
        <v>2008</v>
      </c>
      <c r="G408" t="s">
        <v>1319</v>
      </c>
      <c r="H408" t="s">
        <v>1831</v>
      </c>
      <c r="I408" t="s">
        <v>1832</v>
      </c>
      <c r="J408" t="s">
        <v>24</v>
      </c>
      <c r="K408" t="s">
        <v>25</v>
      </c>
      <c r="L408" t="b">
        <v>1</v>
      </c>
      <c r="M408" t="s">
        <v>1833</v>
      </c>
      <c r="N408" t="str">
        <f>"382/.3"</f>
        <v>382/.3</v>
      </c>
      <c r="O408" t="s">
        <v>1334</v>
      </c>
      <c r="P408" t="b">
        <v>0</v>
      </c>
      <c r="R408" t="str">
        <f>"9780801446092"</f>
        <v>9780801446092</v>
      </c>
      <c r="S408" t="str">
        <f>"9781501711497"</f>
        <v>9781501711497</v>
      </c>
      <c r="T408">
        <v>1042329648</v>
      </c>
    </row>
    <row r="409" spans="1:20" x14ac:dyDescent="0.3">
      <c r="A409">
        <v>1837475</v>
      </c>
      <c r="B409" t="s">
        <v>1834</v>
      </c>
      <c r="C409" t="s">
        <v>1835</v>
      </c>
      <c r="D409" t="s">
        <v>1011</v>
      </c>
      <c r="E409" t="s">
        <v>1012</v>
      </c>
      <c r="F409">
        <v>2007</v>
      </c>
      <c r="G409" t="s">
        <v>1836</v>
      </c>
      <c r="H409" t="s">
        <v>1837</v>
      </c>
      <c r="I409" t="s">
        <v>1838</v>
      </c>
      <c r="J409" t="s">
        <v>24</v>
      </c>
      <c r="K409" t="s">
        <v>25</v>
      </c>
      <c r="L409" t="b">
        <v>1</v>
      </c>
      <c r="M409" t="s">
        <v>1839</v>
      </c>
      <c r="N409" t="str">
        <f>"791.43/655"</f>
        <v>791.43/655</v>
      </c>
      <c r="P409" t="b">
        <v>0</v>
      </c>
      <c r="R409" t="str">
        <f>"9780801444920"</f>
        <v>9780801444920</v>
      </c>
      <c r="S409" t="str">
        <f>"9781501711343"</f>
        <v>9781501711343</v>
      </c>
      <c r="T409">
        <v>1043287265</v>
      </c>
    </row>
    <row r="410" spans="1:20" x14ac:dyDescent="0.3">
      <c r="A410">
        <v>1837474</v>
      </c>
      <c r="B410" t="s">
        <v>1840</v>
      </c>
      <c r="C410" t="s">
        <v>1841</v>
      </c>
      <c r="D410" t="s">
        <v>1011</v>
      </c>
      <c r="E410" t="s">
        <v>1011</v>
      </c>
      <c r="F410">
        <v>2008</v>
      </c>
      <c r="G410" t="s">
        <v>1842</v>
      </c>
      <c r="H410" t="s">
        <v>1843</v>
      </c>
      <c r="I410" t="s">
        <v>1844</v>
      </c>
      <c r="J410" t="s">
        <v>24</v>
      </c>
      <c r="K410" t="s">
        <v>25</v>
      </c>
      <c r="L410" t="b">
        <v>1</v>
      </c>
      <c r="M410" t="s">
        <v>1845</v>
      </c>
      <c r="N410" t="str">
        <f>"393/.909450902"</f>
        <v>393/.909450902</v>
      </c>
      <c r="O410" t="s">
        <v>1846</v>
      </c>
      <c r="P410" t="b">
        <v>0</v>
      </c>
      <c r="R410" t="str">
        <f>"9780801440625"</f>
        <v>9780801440625</v>
      </c>
      <c r="S410" t="str">
        <f>"9781501732249"</f>
        <v>9781501732249</v>
      </c>
      <c r="T410">
        <v>1042220213</v>
      </c>
    </row>
    <row r="411" spans="1:20" x14ac:dyDescent="0.3">
      <c r="A411">
        <v>1837473</v>
      </c>
      <c r="B411" t="s">
        <v>1847</v>
      </c>
      <c r="D411" t="s">
        <v>1011</v>
      </c>
      <c r="E411" t="s">
        <v>1011</v>
      </c>
      <c r="F411">
        <v>2003</v>
      </c>
      <c r="G411" t="s">
        <v>1319</v>
      </c>
      <c r="H411" t="s">
        <v>1848</v>
      </c>
      <c r="J411" t="s">
        <v>24</v>
      </c>
      <c r="K411" t="s">
        <v>25</v>
      </c>
      <c r="L411" t="b">
        <v>1</v>
      </c>
      <c r="M411" t="s">
        <v>1849</v>
      </c>
      <c r="N411" t="str">
        <f>"341.242/2"</f>
        <v>341.242/2</v>
      </c>
      <c r="O411" t="s">
        <v>1334</v>
      </c>
      <c r="P411" t="b">
        <v>0</v>
      </c>
      <c r="R411" t="str">
        <f>"9780801440861"</f>
        <v>9780801440861</v>
      </c>
      <c r="S411" t="str">
        <f>"9781501732089"</f>
        <v>9781501732089</v>
      </c>
      <c r="T411">
        <v>1042220231</v>
      </c>
    </row>
    <row r="412" spans="1:20" x14ac:dyDescent="0.3">
      <c r="A412">
        <v>1837471</v>
      </c>
      <c r="B412" t="s">
        <v>1850</v>
      </c>
      <c r="C412" t="s">
        <v>1851</v>
      </c>
      <c r="D412" t="s">
        <v>1011</v>
      </c>
      <c r="E412" t="s">
        <v>1011</v>
      </c>
      <c r="F412">
        <v>2003</v>
      </c>
      <c r="G412" t="s">
        <v>1178</v>
      </c>
      <c r="H412" t="s">
        <v>1852</v>
      </c>
      <c r="I412" t="s">
        <v>1853</v>
      </c>
      <c r="J412" t="s">
        <v>24</v>
      </c>
      <c r="K412" t="s">
        <v>25</v>
      </c>
      <c r="L412" t="b">
        <v>1</v>
      </c>
      <c r="M412" t="s">
        <v>1854</v>
      </c>
      <c r="N412" t="str">
        <f>"306.4/8/0952"</f>
        <v>306.4/8/0952</v>
      </c>
      <c r="O412" t="s">
        <v>1334</v>
      </c>
      <c r="P412" t="b">
        <v>0</v>
      </c>
      <c r="R412" t="str">
        <f>"9780801440915"</f>
        <v>9780801440915</v>
      </c>
      <c r="S412" t="str">
        <f>"9781501731891"</f>
        <v>9781501731891</v>
      </c>
      <c r="T412">
        <v>1042220215</v>
      </c>
    </row>
    <row r="413" spans="1:20" x14ac:dyDescent="0.3">
      <c r="A413">
        <v>1837470</v>
      </c>
      <c r="B413" t="s">
        <v>1855</v>
      </c>
      <c r="C413" t="s">
        <v>1856</v>
      </c>
      <c r="D413" t="s">
        <v>1011</v>
      </c>
      <c r="E413" t="s">
        <v>1011</v>
      </c>
      <c r="F413">
        <v>2005</v>
      </c>
      <c r="G413" t="s">
        <v>1046</v>
      </c>
      <c r="H413" t="s">
        <v>1857</v>
      </c>
      <c r="I413" t="s">
        <v>1858</v>
      </c>
      <c r="J413" t="s">
        <v>24</v>
      </c>
      <c r="K413" t="s">
        <v>25</v>
      </c>
      <c r="L413" t="b">
        <v>1</v>
      </c>
      <c r="M413" t="s">
        <v>1859</v>
      </c>
      <c r="N413" t="str">
        <f>"331.7/6862/094709042"</f>
        <v>331.7/6862/094709042</v>
      </c>
      <c r="P413" t="b">
        <v>0</v>
      </c>
      <c r="R413" t="str">
        <f>"9780801443084"</f>
        <v>9780801443084</v>
      </c>
      <c r="S413" t="str">
        <f>"9781501731716"</f>
        <v>9781501731716</v>
      </c>
      <c r="T413">
        <v>1042356666</v>
      </c>
    </row>
    <row r="414" spans="1:20" x14ac:dyDescent="0.3">
      <c r="A414">
        <v>1837469</v>
      </c>
      <c r="B414" t="s">
        <v>1860</v>
      </c>
      <c r="C414" t="s">
        <v>1861</v>
      </c>
      <c r="D414" t="s">
        <v>1011</v>
      </c>
      <c r="E414" t="s">
        <v>1011</v>
      </c>
      <c r="F414">
        <v>2004</v>
      </c>
      <c r="G414" t="s">
        <v>1745</v>
      </c>
      <c r="H414" t="s">
        <v>1862</v>
      </c>
      <c r="I414" t="s">
        <v>1863</v>
      </c>
      <c r="J414" t="s">
        <v>24</v>
      </c>
      <c r="K414" t="s">
        <v>25</v>
      </c>
      <c r="L414" t="b">
        <v>1</v>
      </c>
      <c r="M414" t="s">
        <v>1864</v>
      </c>
      <c r="N414" t="str">
        <f>"331"</f>
        <v>331</v>
      </c>
      <c r="P414" t="b">
        <v>0</v>
      </c>
      <c r="R414" t="str">
        <f>"9780801441844"</f>
        <v>9780801441844</v>
      </c>
      <c r="S414" t="str">
        <f>"9781501731433"</f>
        <v>9781501731433</v>
      </c>
      <c r="T414">
        <v>1042219990</v>
      </c>
    </row>
    <row r="415" spans="1:20" x14ac:dyDescent="0.3">
      <c r="A415">
        <v>1837467</v>
      </c>
      <c r="B415" t="s">
        <v>1865</v>
      </c>
      <c r="C415" t="s">
        <v>1866</v>
      </c>
      <c r="D415" t="s">
        <v>1011</v>
      </c>
      <c r="E415" t="s">
        <v>1011</v>
      </c>
      <c r="F415">
        <v>2006</v>
      </c>
      <c r="G415" t="s">
        <v>1680</v>
      </c>
      <c r="H415" t="s">
        <v>1867</v>
      </c>
      <c r="I415" t="s">
        <v>1868</v>
      </c>
      <c r="J415" t="s">
        <v>24</v>
      </c>
      <c r="K415" t="s">
        <v>25</v>
      </c>
      <c r="L415" t="b">
        <v>1</v>
      </c>
      <c r="M415" t="s">
        <v>1869</v>
      </c>
      <c r="N415" t="str">
        <f>"364.106/60979494"</f>
        <v>364.106/60979494</v>
      </c>
      <c r="P415" t="b">
        <v>0</v>
      </c>
      <c r="R415" t="str">
        <f>"9780801443725"</f>
        <v>9780801443725</v>
      </c>
      <c r="S415" t="str">
        <f>"9781501730047"</f>
        <v>9781501730047</v>
      </c>
      <c r="T415">
        <v>1035684401</v>
      </c>
    </row>
    <row r="416" spans="1:20" x14ac:dyDescent="0.3">
      <c r="A416">
        <v>1837466</v>
      </c>
      <c r="B416" t="s">
        <v>1870</v>
      </c>
      <c r="C416" t="s">
        <v>1871</v>
      </c>
      <c r="D416" t="s">
        <v>1011</v>
      </c>
      <c r="E416" t="s">
        <v>1011</v>
      </c>
      <c r="F416">
        <v>2003</v>
      </c>
      <c r="G416" t="s">
        <v>1353</v>
      </c>
      <c r="H416" t="s">
        <v>1872</v>
      </c>
      <c r="I416" t="s">
        <v>1873</v>
      </c>
      <c r="J416" t="s">
        <v>24</v>
      </c>
      <c r="K416" t="s">
        <v>25</v>
      </c>
      <c r="L416" t="b">
        <v>1</v>
      </c>
      <c r="M416" t="s">
        <v>1874</v>
      </c>
      <c r="N416" t="str">
        <f>"332.7/22/0973"</f>
        <v>332.7/22/0973</v>
      </c>
      <c r="P416" t="b">
        <v>0</v>
      </c>
      <c r="R416" t="str">
        <f>"9780801440663"</f>
        <v>9780801440663</v>
      </c>
      <c r="S416" t="str">
        <f>"9781501729966"</f>
        <v>9781501729966</v>
      </c>
      <c r="T416">
        <v>1042220154</v>
      </c>
    </row>
    <row r="417" spans="1:20" x14ac:dyDescent="0.3">
      <c r="A417">
        <v>1837465</v>
      </c>
      <c r="B417" t="s">
        <v>1875</v>
      </c>
      <c r="C417" t="s">
        <v>1876</v>
      </c>
      <c r="D417" t="s">
        <v>1011</v>
      </c>
      <c r="E417" t="s">
        <v>1011</v>
      </c>
      <c r="F417">
        <v>2004</v>
      </c>
      <c r="G417" t="s">
        <v>1762</v>
      </c>
      <c r="H417" t="s">
        <v>1877</v>
      </c>
      <c r="I417" t="s">
        <v>1878</v>
      </c>
      <c r="J417" t="s">
        <v>24</v>
      </c>
      <c r="K417" t="s">
        <v>25</v>
      </c>
      <c r="L417" t="b">
        <v>1</v>
      </c>
      <c r="M417" t="s">
        <v>1879</v>
      </c>
      <c r="N417" t="str">
        <f>"792.1/6/0973"</f>
        <v>792.1/6/0973</v>
      </c>
      <c r="P417" t="b">
        <v>0</v>
      </c>
      <c r="R417" t="str">
        <f>"9780801442957"</f>
        <v>9780801442957</v>
      </c>
      <c r="S417" t="str">
        <f>"9781501729928"</f>
        <v>9781501729928</v>
      </c>
      <c r="T417">
        <v>607544519</v>
      </c>
    </row>
    <row r="418" spans="1:20" x14ac:dyDescent="0.3">
      <c r="A418">
        <v>1837464</v>
      </c>
      <c r="B418" t="s">
        <v>1880</v>
      </c>
      <c r="C418" t="s">
        <v>1881</v>
      </c>
      <c r="D418" t="s">
        <v>1011</v>
      </c>
      <c r="E418" t="s">
        <v>1011</v>
      </c>
      <c r="F418">
        <v>2006</v>
      </c>
      <c r="G418" t="s">
        <v>1013</v>
      </c>
      <c r="H418" t="s">
        <v>1882</v>
      </c>
      <c r="I418" t="s">
        <v>1883</v>
      </c>
      <c r="J418" t="s">
        <v>24</v>
      </c>
      <c r="K418" t="s">
        <v>25</v>
      </c>
      <c r="L418" t="b">
        <v>1</v>
      </c>
      <c r="M418" t="s">
        <v>1884</v>
      </c>
      <c r="N418" t="str">
        <f>"322/.20973"</f>
        <v>322/.20973</v>
      </c>
      <c r="P418" t="b">
        <v>0</v>
      </c>
      <c r="R418" t="str">
        <f>"9780801444555"</f>
        <v>9780801444555</v>
      </c>
      <c r="S418" t="str">
        <f>"9781501729911"</f>
        <v>9781501729911</v>
      </c>
      <c r="T418">
        <v>1042219264</v>
      </c>
    </row>
    <row r="419" spans="1:20" x14ac:dyDescent="0.3">
      <c r="A419">
        <v>1837463</v>
      </c>
      <c r="B419" t="s">
        <v>1885</v>
      </c>
      <c r="C419" t="s">
        <v>1886</v>
      </c>
      <c r="D419" t="s">
        <v>1011</v>
      </c>
      <c r="E419" t="s">
        <v>1011</v>
      </c>
      <c r="F419">
        <v>2003</v>
      </c>
      <c r="G419" t="s">
        <v>1588</v>
      </c>
      <c r="H419" t="s">
        <v>1887</v>
      </c>
      <c r="I419" t="s">
        <v>1888</v>
      </c>
      <c r="J419" t="s">
        <v>24</v>
      </c>
      <c r="K419" t="s">
        <v>25</v>
      </c>
      <c r="L419" t="b">
        <v>1</v>
      </c>
      <c r="M419" t="s">
        <v>1889</v>
      </c>
      <c r="N419" t="str">
        <f>"170/.92"</f>
        <v>170/.92</v>
      </c>
      <c r="P419" t="b">
        <v>0</v>
      </c>
      <c r="R419" t="str">
        <f>"9780801440960"</f>
        <v>9780801440960</v>
      </c>
      <c r="S419" t="str">
        <f>"9781501729652"</f>
        <v>9781501729652</v>
      </c>
      <c r="T419">
        <v>1042220216</v>
      </c>
    </row>
    <row r="420" spans="1:20" x14ac:dyDescent="0.3">
      <c r="A420">
        <v>1837462</v>
      </c>
      <c r="B420" t="s">
        <v>1890</v>
      </c>
      <c r="C420" t="s">
        <v>1891</v>
      </c>
      <c r="D420" t="s">
        <v>1011</v>
      </c>
      <c r="E420" t="s">
        <v>1011</v>
      </c>
      <c r="F420">
        <v>2004</v>
      </c>
      <c r="G420" t="s">
        <v>1892</v>
      </c>
      <c r="H420" t="s">
        <v>1893</v>
      </c>
      <c r="I420" t="s">
        <v>1894</v>
      </c>
      <c r="J420" t="s">
        <v>24</v>
      </c>
      <c r="K420" t="s">
        <v>25</v>
      </c>
      <c r="L420" t="b">
        <v>1</v>
      </c>
      <c r="M420" t="s">
        <v>1895</v>
      </c>
      <c r="N420" t="str">
        <f>"327.1/17"</f>
        <v>327.1/17</v>
      </c>
      <c r="P420" t="b">
        <v>0</v>
      </c>
      <c r="R420" t="str">
        <f>"9780801442551"</f>
        <v>9780801442551</v>
      </c>
      <c r="S420" t="str">
        <f>"9781501729621"</f>
        <v>9781501729621</v>
      </c>
      <c r="T420">
        <v>607528090</v>
      </c>
    </row>
    <row r="421" spans="1:20" x14ac:dyDescent="0.3">
      <c r="A421">
        <v>1837459</v>
      </c>
      <c r="B421" t="s">
        <v>1896</v>
      </c>
      <c r="C421" t="s">
        <v>1897</v>
      </c>
      <c r="D421" t="s">
        <v>1011</v>
      </c>
      <c r="E421" t="s">
        <v>1011</v>
      </c>
      <c r="F421">
        <v>2006</v>
      </c>
      <c r="G421" t="s">
        <v>1013</v>
      </c>
      <c r="H421" t="s">
        <v>1898</v>
      </c>
      <c r="I421" t="s">
        <v>1899</v>
      </c>
      <c r="J421" t="s">
        <v>24</v>
      </c>
      <c r="K421" t="s">
        <v>25</v>
      </c>
      <c r="L421" t="b">
        <v>1</v>
      </c>
      <c r="M421" t="s">
        <v>1900</v>
      </c>
      <c r="N421" t="str">
        <f>"331.7/6240973"</f>
        <v>331.7/6240973</v>
      </c>
      <c r="P421" t="b">
        <v>0</v>
      </c>
      <c r="R421" t="str">
        <f>"9780801444678"</f>
        <v>9780801444678</v>
      </c>
      <c r="S421" t="str">
        <f>"9781501729294"</f>
        <v>9781501729294</v>
      </c>
      <c r="T421">
        <v>607623607</v>
      </c>
    </row>
    <row r="422" spans="1:20" x14ac:dyDescent="0.3">
      <c r="A422">
        <v>1837458</v>
      </c>
      <c r="B422" t="s">
        <v>1901</v>
      </c>
      <c r="C422" t="s">
        <v>1902</v>
      </c>
      <c r="D422" t="s">
        <v>1011</v>
      </c>
      <c r="E422" t="s">
        <v>1011</v>
      </c>
      <c r="F422">
        <v>2003</v>
      </c>
      <c r="G422" t="s">
        <v>1903</v>
      </c>
      <c r="H422" t="s">
        <v>1904</v>
      </c>
      <c r="I422" t="s">
        <v>1905</v>
      </c>
      <c r="J422" t="s">
        <v>24</v>
      </c>
      <c r="K422" t="s">
        <v>25</v>
      </c>
      <c r="L422" t="b">
        <v>1</v>
      </c>
      <c r="M422" t="s">
        <v>1906</v>
      </c>
      <c r="N422" t="str">
        <f>"809.933520431"</f>
        <v>809.933520431</v>
      </c>
      <c r="P422" t="b">
        <v>0</v>
      </c>
      <c r="R422" t="str">
        <f>"9780801440571"</f>
        <v>9780801440571</v>
      </c>
      <c r="S422" t="str">
        <f>"9781501728846"</f>
        <v>9781501728846</v>
      </c>
      <c r="T422">
        <v>1033573412</v>
      </c>
    </row>
    <row r="423" spans="1:20" x14ac:dyDescent="0.3">
      <c r="A423">
        <v>1837457</v>
      </c>
      <c r="B423" t="s">
        <v>1907</v>
      </c>
      <c r="C423" t="s">
        <v>1908</v>
      </c>
      <c r="D423" t="s">
        <v>1011</v>
      </c>
      <c r="E423" t="s">
        <v>1011</v>
      </c>
      <c r="F423">
        <v>2005</v>
      </c>
      <c r="G423" t="s">
        <v>1909</v>
      </c>
      <c r="H423" t="s">
        <v>1910</v>
      </c>
      <c r="I423" t="s">
        <v>1911</v>
      </c>
      <c r="J423" t="s">
        <v>24</v>
      </c>
      <c r="K423" t="s">
        <v>25</v>
      </c>
      <c r="L423" t="b">
        <v>1</v>
      </c>
      <c r="M423" t="s">
        <v>1912</v>
      </c>
      <c r="N423" t="str">
        <f>"338.762920952"</f>
        <v>338.762920952</v>
      </c>
      <c r="P423" t="b">
        <v>0</v>
      </c>
      <c r="R423" t="str">
        <f>"9780801442896"</f>
        <v>9780801442896</v>
      </c>
      <c r="S423" t="str">
        <f>"9781501728792"</f>
        <v>9781501728792</v>
      </c>
      <c r="T423">
        <v>1042219529</v>
      </c>
    </row>
    <row r="424" spans="1:20" x14ac:dyDescent="0.3">
      <c r="A424">
        <v>1837456</v>
      </c>
      <c r="B424" t="s">
        <v>1913</v>
      </c>
      <c r="C424" t="s">
        <v>1914</v>
      </c>
      <c r="D424" t="s">
        <v>1011</v>
      </c>
      <c r="E424" t="s">
        <v>1011</v>
      </c>
      <c r="F424">
        <v>2003</v>
      </c>
      <c r="G424" t="s">
        <v>1046</v>
      </c>
      <c r="H424" t="s">
        <v>1915</v>
      </c>
      <c r="I424" t="s">
        <v>1916</v>
      </c>
      <c r="J424" t="s">
        <v>24</v>
      </c>
      <c r="K424" t="s">
        <v>25</v>
      </c>
      <c r="L424" t="b">
        <v>1</v>
      </c>
      <c r="M424" t="s">
        <v>1917</v>
      </c>
      <c r="N424" t="str">
        <f>"790/.0947/09034"</f>
        <v>790/.0947/09034</v>
      </c>
      <c r="P424" t="b">
        <v>0</v>
      </c>
      <c r="R424" t="str">
        <f>"9780801440274"</f>
        <v>9780801440274</v>
      </c>
      <c r="S424" t="str">
        <f>"9781501728778"</f>
        <v>9781501728778</v>
      </c>
      <c r="T424">
        <v>1042329694</v>
      </c>
    </row>
    <row r="425" spans="1:20" x14ac:dyDescent="0.3">
      <c r="A425">
        <v>1837455</v>
      </c>
      <c r="B425" t="s">
        <v>1918</v>
      </c>
      <c r="C425" t="s">
        <v>1919</v>
      </c>
      <c r="D425" t="s">
        <v>1011</v>
      </c>
      <c r="E425" t="s">
        <v>1011</v>
      </c>
      <c r="F425">
        <v>2003</v>
      </c>
      <c r="G425" t="s">
        <v>1920</v>
      </c>
      <c r="H425" t="s">
        <v>1921</v>
      </c>
      <c r="I425" t="s">
        <v>1922</v>
      </c>
      <c r="J425" t="s">
        <v>24</v>
      </c>
      <c r="K425" t="s">
        <v>25</v>
      </c>
      <c r="L425" t="b">
        <v>1</v>
      </c>
      <c r="M425" t="s">
        <v>1923</v>
      </c>
      <c r="N425" t="str">
        <f>"191"</f>
        <v>191</v>
      </c>
      <c r="P425" t="b">
        <v>0</v>
      </c>
      <c r="R425" t="str">
        <f>"9780801441523"</f>
        <v>9780801441523</v>
      </c>
      <c r="S425" t="str">
        <f>"9781501728488"</f>
        <v>9781501728488</v>
      </c>
      <c r="T425">
        <v>1042220171</v>
      </c>
    </row>
    <row r="426" spans="1:20" x14ac:dyDescent="0.3">
      <c r="A426">
        <v>1837453</v>
      </c>
      <c r="B426" t="s">
        <v>1924</v>
      </c>
      <c r="C426" t="s">
        <v>1925</v>
      </c>
      <c r="D426" t="s">
        <v>1011</v>
      </c>
      <c r="E426" t="s">
        <v>1011</v>
      </c>
      <c r="F426">
        <v>2004</v>
      </c>
      <c r="G426" t="s">
        <v>1926</v>
      </c>
      <c r="H426" t="s">
        <v>1927</v>
      </c>
      <c r="I426" t="s">
        <v>1928</v>
      </c>
      <c r="J426" t="s">
        <v>24</v>
      </c>
      <c r="K426" t="s">
        <v>25</v>
      </c>
      <c r="L426" t="b">
        <v>1</v>
      </c>
      <c r="M426" t="s">
        <v>1929</v>
      </c>
      <c r="N426" t="str">
        <f>"843/.912"</f>
        <v>843/.912</v>
      </c>
      <c r="P426" t="b">
        <v>0</v>
      </c>
      <c r="R426" t="str">
        <f>"9780801442230"</f>
        <v>9780801442230</v>
      </c>
      <c r="S426" t="str">
        <f>"9781501727368"</f>
        <v>9781501727368</v>
      </c>
      <c r="T426">
        <v>1033582163</v>
      </c>
    </row>
    <row r="427" spans="1:20" x14ac:dyDescent="0.3">
      <c r="A427">
        <v>1837451</v>
      </c>
      <c r="B427" t="s">
        <v>1930</v>
      </c>
      <c r="C427" t="s">
        <v>1931</v>
      </c>
      <c r="D427" t="s">
        <v>1011</v>
      </c>
      <c r="E427" t="s">
        <v>1011</v>
      </c>
      <c r="F427">
        <v>2004</v>
      </c>
      <c r="G427" t="s">
        <v>713</v>
      </c>
      <c r="H427" t="s">
        <v>1932</v>
      </c>
      <c r="I427" t="s">
        <v>1933</v>
      </c>
      <c r="J427" t="s">
        <v>24</v>
      </c>
      <c r="K427" t="s">
        <v>25</v>
      </c>
      <c r="L427" t="b">
        <v>1</v>
      </c>
      <c r="M427" t="s">
        <v>1934</v>
      </c>
      <c r="N427" t="str">
        <f>"306.2/0946"</f>
        <v>306.2/0946</v>
      </c>
      <c r="P427" t="b">
        <v>0</v>
      </c>
      <c r="R427" t="str">
        <f>"9780801442261"</f>
        <v>9780801442261</v>
      </c>
      <c r="S427" t="str">
        <f>"9781501727177"</f>
        <v>9781501727177</v>
      </c>
      <c r="T427">
        <v>1029038791</v>
      </c>
    </row>
    <row r="428" spans="1:20" x14ac:dyDescent="0.3">
      <c r="A428">
        <v>1837450</v>
      </c>
      <c r="B428" t="s">
        <v>1935</v>
      </c>
      <c r="C428" t="s">
        <v>1936</v>
      </c>
      <c r="D428" t="s">
        <v>1011</v>
      </c>
      <c r="E428" t="s">
        <v>1011</v>
      </c>
      <c r="F428">
        <v>2004</v>
      </c>
      <c r="G428" t="s">
        <v>725</v>
      </c>
      <c r="H428" t="s">
        <v>1937</v>
      </c>
      <c r="I428" t="s">
        <v>1938</v>
      </c>
      <c r="J428" t="s">
        <v>24</v>
      </c>
      <c r="K428" t="s">
        <v>25</v>
      </c>
      <c r="L428" t="b">
        <v>1</v>
      </c>
      <c r="M428" t="s">
        <v>1939</v>
      </c>
      <c r="N428" t="str">
        <f>"197"</f>
        <v>197</v>
      </c>
      <c r="P428" t="b">
        <v>0</v>
      </c>
      <c r="R428" t="str">
        <f>"9780801441929"</f>
        <v>9780801441929</v>
      </c>
      <c r="S428" t="str">
        <f>"9781501727023"</f>
        <v>9781501727023</v>
      </c>
      <c r="T428">
        <v>1042219829</v>
      </c>
    </row>
    <row r="429" spans="1:20" x14ac:dyDescent="0.3">
      <c r="A429">
        <v>1837448</v>
      </c>
      <c r="B429" t="s">
        <v>1940</v>
      </c>
      <c r="D429" t="s">
        <v>1011</v>
      </c>
      <c r="E429" t="s">
        <v>1011</v>
      </c>
      <c r="F429">
        <v>2003</v>
      </c>
      <c r="G429" t="s">
        <v>1573</v>
      </c>
      <c r="H429" t="s">
        <v>1941</v>
      </c>
      <c r="I429" t="s">
        <v>1942</v>
      </c>
      <c r="J429" t="s">
        <v>24</v>
      </c>
      <c r="K429" t="s">
        <v>25</v>
      </c>
      <c r="L429" t="b">
        <v>1</v>
      </c>
      <c r="M429" t="s">
        <v>1943</v>
      </c>
      <c r="N429" t="str">
        <f>"306.874/2/09440904"</f>
        <v>306.874/2/09440904</v>
      </c>
      <c r="P429" t="b">
        <v>0</v>
      </c>
      <c r="R429" t="str">
        <f>"9780801441226"</f>
        <v>9780801441226</v>
      </c>
      <c r="S429" t="str">
        <f>"9781501726897"</f>
        <v>9781501726897</v>
      </c>
      <c r="T429">
        <v>1042330507</v>
      </c>
    </row>
    <row r="430" spans="1:20" x14ac:dyDescent="0.3">
      <c r="A430">
        <v>1837445</v>
      </c>
      <c r="B430" t="s">
        <v>1944</v>
      </c>
      <c r="C430" t="s">
        <v>1945</v>
      </c>
      <c r="D430" t="s">
        <v>1011</v>
      </c>
      <c r="E430" t="s">
        <v>1011</v>
      </c>
      <c r="F430">
        <v>2004</v>
      </c>
      <c r="G430" t="s">
        <v>145</v>
      </c>
      <c r="H430" t="s">
        <v>1946</v>
      </c>
      <c r="I430" t="s">
        <v>1947</v>
      </c>
      <c r="J430" t="s">
        <v>24</v>
      </c>
      <c r="K430" t="s">
        <v>25</v>
      </c>
      <c r="L430" t="b">
        <v>1</v>
      </c>
      <c r="M430" t="s">
        <v>1948</v>
      </c>
      <c r="N430" t="str">
        <f>"820.9/145"</f>
        <v>820.9/145</v>
      </c>
      <c r="P430" t="b">
        <v>0</v>
      </c>
      <c r="R430" t="str">
        <f>"9780801442445"</f>
        <v>9780801442445</v>
      </c>
      <c r="S430" t="str">
        <f>"9781501711381"</f>
        <v>9781501711381</v>
      </c>
      <c r="T430">
        <v>1042219991</v>
      </c>
    </row>
    <row r="431" spans="1:20" x14ac:dyDescent="0.3">
      <c r="A431">
        <v>1837444</v>
      </c>
      <c r="B431" t="s">
        <v>1949</v>
      </c>
      <c r="C431" t="s">
        <v>1950</v>
      </c>
      <c r="D431" t="s">
        <v>1011</v>
      </c>
      <c r="E431" t="s">
        <v>1012</v>
      </c>
      <c r="F431">
        <v>2006</v>
      </c>
      <c r="G431" t="s">
        <v>713</v>
      </c>
      <c r="H431" t="s">
        <v>1951</v>
      </c>
      <c r="I431" t="s">
        <v>1952</v>
      </c>
      <c r="J431" t="s">
        <v>24</v>
      </c>
      <c r="K431" t="s">
        <v>25</v>
      </c>
      <c r="L431" t="b">
        <v>1</v>
      </c>
      <c r="M431" t="s">
        <v>1953</v>
      </c>
      <c r="N431" t="str">
        <f>"362.5/5610973"</f>
        <v>362.5/5610973</v>
      </c>
      <c r="P431" t="b">
        <v>0</v>
      </c>
      <c r="R431" t="str">
        <f>"9780801444074"</f>
        <v>9780801444074</v>
      </c>
      <c r="S431" t="str">
        <f>"9781501711251"</f>
        <v>9781501711251</v>
      </c>
      <c r="T431">
        <v>1033666366</v>
      </c>
    </row>
    <row r="432" spans="1:20" x14ac:dyDescent="0.3">
      <c r="A432">
        <v>1837442</v>
      </c>
      <c r="B432" t="s">
        <v>1954</v>
      </c>
      <c r="C432" t="s">
        <v>1955</v>
      </c>
      <c r="D432" t="s">
        <v>1011</v>
      </c>
      <c r="E432" t="s">
        <v>1011</v>
      </c>
      <c r="F432">
        <v>2002</v>
      </c>
      <c r="G432" t="s">
        <v>1050</v>
      </c>
      <c r="H432" t="s">
        <v>1956</v>
      </c>
      <c r="I432" t="s">
        <v>1957</v>
      </c>
      <c r="J432" t="s">
        <v>24</v>
      </c>
      <c r="K432" t="s">
        <v>25</v>
      </c>
      <c r="L432" t="b">
        <v>1</v>
      </c>
      <c r="M432" t="s">
        <v>1958</v>
      </c>
      <c r="N432" t="str">
        <f>"381/.4282/097471"</f>
        <v>381/.4282/097471</v>
      </c>
      <c r="O432" t="s">
        <v>1959</v>
      </c>
      <c r="P432" t="b">
        <v>0</v>
      </c>
      <c r="R432" t="str">
        <f>"9780801439896"</f>
        <v>9780801439896</v>
      </c>
      <c r="S432" t="str">
        <f>"9781501718199"</f>
        <v>9781501718199</v>
      </c>
      <c r="T432">
        <v>1042220185</v>
      </c>
    </row>
    <row r="433" spans="1:20" x14ac:dyDescent="0.3">
      <c r="A433">
        <v>1837441</v>
      </c>
      <c r="B433" t="s">
        <v>1960</v>
      </c>
      <c r="C433" t="s">
        <v>1961</v>
      </c>
      <c r="D433" t="s">
        <v>1011</v>
      </c>
      <c r="E433" t="s">
        <v>1011</v>
      </c>
      <c r="F433">
        <v>1994</v>
      </c>
      <c r="G433" t="s">
        <v>1319</v>
      </c>
      <c r="H433" t="s">
        <v>1962</v>
      </c>
      <c r="I433" t="s">
        <v>1963</v>
      </c>
      <c r="J433" t="s">
        <v>24</v>
      </c>
      <c r="K433" t="s">
        <v>25</v>
      </c>
      <c r="L433" t="b">
        <v>1</v>
      </c>
      <c r="M433" t="s">
        <v>1964</v>
      </c>
      <c r="N433" t="str">
        <f>"338.9/1/091724"</f>
        <v>338.9/1/091724</v>
      </c>
      <c r="O433" t="s">
        <v>1334</v>
      </c>
      <c r="P433" t="b">
        <v>0</v>
      </c>
      <c r="R433" t="str">
        <f>"9780801430008"</f>
        <v>9780801430008</v>
      </c>
      <c r="S433" t="str">
        <f>"9781501718243"</f>
        <v>9781501718243</v>
      </c>
      <c r="T433">
        <v>1042242377</v>
      </c>
    </row>
    <row r="434" spans="1:20" x14ac:dyDescent="0.3">
      <c r="A434">
        <v>1837440</v>
      </c>
      <c r="B434" t="s">
        <v>1965</v>
      </c>
      <c r="C434" t="s">
        <v>1966</v>
      </c>
      <c r="D434" t="s">
        <v>1011</v>
      </c>
      <c r="E434" t="s">
        <v>1011</v>
      </c>
      <c r="F434">
        <v>2005</v>
      </c>
      <c r="G434" t="s">
        <v>725</v>
      </c>
      <c r="H434" t="s">
        <v>1967</v>
      </c>
      <c r="I434" t="s">
        <v>1968</v>
      </c>
      <c r="J434" t="s">
        <v>24</v>
      </c>
      <c r="K434" t="s">
        <v>25</v>
      </c>
      <c r="L434" t="b">
        <v>1</v>
      </c>
      <c r="M434" t="s">
        <v>1969</v>
      </c>
      <c r="N434" t="str">
        <f>"400"</f>
        <v>400</v>
      </c>
      <c r="P434" t="b">
        <v>0</v>
      </c>
      <c r="R434" t="str">
        <f>"9780801443169"</f>
        <v>9780801443169</v>
      </c>
      <c r="S434" t="str">
        <f>"9781501718281"</f>
        <v>9781501718281</v>
      </c>
      <c r="T434">
        <v>607561862</v>
      </c>
    </row>
    <row r="435" spans="1:20" x14ac:dyDescent="0.3">
      <c r="A435">
        <v>1837439</v>
      </c>
      <c r="B435" t="s">
        <v>1970</v>
      </c>
      <c r="C435" t="s">
        <v>1971</v>
      </c>
      <c r="D435" t="s">
        <v>1011</v>
      </c>
      <c r="E435" t="s">
        <v>1011</v>
      </c>
      <c r="F435">
        <v>1996</v>
      </c>
      <c r="G435" t="s">
        <v>1972</v>
      </c>
      <c r="H435" t="s">
        <v>1973</v>
      </c>
      <c r="I435" t="s">
        <v>1974</v>
      </c>
      <c r="J435" t="s">
        <v>24</v>
      </c>
      <c r="K435" t="s">
        <v>25</v>
      </c>
      <c r="L435" t="b">
        <v>1</v>
      </c>
      <c r="M435" t="s">
        <v>1975</v>
      </c>
      <c r="N435" t="str">
        <f>"891.8/50935203924"</f>
        <v>891.8/50935203924</v>
      </c>
      <c r="P435" t="b">
        <v>0</v>
      </c>
      <c r="R435" t="str">
        <f>"9780801428654"</f>
        <v>9780801428654</v>
      </c>
      <c r="S435" t="str">
        <f>"9781501718298"</f>
        <v>9781501718298</v>
      </c>
      <c r="T435">
        <v>604089926</v>
      </c>
    </row>
    <row r="436" spans="1:20" x14ac:dyDescent="0.3">
      <c r="A436">
        <v>1837438</v>
      </c>
      <c r="B436" t="s">
        <v>1976</v>
      </c>
      <c r="C436" t="s">
        <v>1977</v>
      </c>
      <c r="D436" t="s">
        <v>1011</v>
      </c>
      <c r="E436" t="s">
        <v>1011</v>
      </c>
      <c r="F436">
        <v>2005</v>
      </c>
      <c r="G436" t="s">
        <v>859</v>
      </c>
      <c r="H436" t="s">
        <v>1978</v>
      </c>
      <c r="I436" t="s">
        <v>1979</v>
      </c>
      <c r="J436" t="s">
        <v>24</v>
      </c>
      <c r="K436" t="s">
        <v>25</v>
      </c>
      <c r="L436" t="b">
        <v>1</v>
      </c>
      <c r="M436" t="s">
        <v>1980</v>
      </c>
      <c r="N436" t="str">
        <f>"830.9/351"</f>
        <v>830.9/351</v>
      </c>
      <c r="O436" t="s">
        <v>1981</v>
      </c>
      <c r="P436" t="b">
        <v>0</v>
      </c>
      <c r="R436" t="str">
        <f>"9780801442612"</f>
        <v>9780801442612</v>
      </c>
      <c r="S436" t="str">
        <f>"9781501718328"</f>
        <v>9781501718328</v>
      </c>
      <c r="T436">
        <v>1042219989</v>
      </c>
    </row>
    <row r="437" spans="1:20" x14ac:dyDescent="0.3">
      <c r="A437">
        <v>1837437</v>
      </c>
      <c r="B437" t="s">
        <v>1982</v>
      </c>
      <c r="C437" t="s">
        <v>1983</v>
      </c>
      <c r="D437" t="s">
        <v>1011</v>
      </c>
      <c r="E437" t="s">
        <v>1011</v>
      </c>
      <c r="F437">
        <v>1992</v>
      </c>
      <c r="G437" t="s">
        <v>1920</v>
      </c>
      <c r="H437" t="s">
        <v>1984</v>
      </c>
      <c r="I437" t="s">
        <v>1985</v>
      </c>
      <c r="J437" t="s">
        <v>24</v>
      </c>
      <c r="K437" t="s">
        <v>25</v>
      </c>
      <c r="L437" t="b">
        <v>1</v>
      </c>
      <c r="M437" t="s">
        <v>1986</v>
      </c>
      <c r="N437" t="str">
        <f>"192"</f>
        <v>192</v>
      </c>
      <c r="P437" t="b">
        <v>0</v>
      </c>
      <c r="R437" t="str">
        <f>"9780801427589"</f>
        <v>9780801427589</v>
      </c>
      <c r="S437" t="str">
        <f>"9781501718342"</f>
        <v>9781501718342</v>
      </c>
      <c r="T437">
        <v>645846408</v>
      </c>
    </row>
    <row r="438" spans="1:20" x14ac:dyDescent="0.3">
      <c r="A438">
        <v>1837436</v>
      </c>
      <c r="B438" t="s">
        <v>1987</v>
      </c>
      <c r="C438" t="s">
        <v>1988</v>
      </c>
      <c r="D438" t="s">
        <v>1011</v>
      </c>
      <c r="E438" t="s">
        <v>1011</v>
      </c>
      <c r="F438">
        <v>2002</v>
      </c>
      <c r="G438" t="s">
        <v>810</v>
      </c>
      <c r="H438" t="s">
        <v>1989</v>
      </c>
      <c r="I438" t="s">
        <v>1990</v>
      </c>
      <c r="J438" t="s">
        <v>24</v>
      </c>
      <c r="K438" t="s">
        <v>25</v>
      </c>
      <c r="L438" t="b">
        <v>1</v>
      </c>
      <c r="M438" t="s">
        <v>1991</v>
      </c>
      <c r="N438" t="str">
        <f>"813/.0873809"</f>
        <v>813/.0873809</v>
      </c>
      <c r="P438" t="b">
        <v>0</v>
      </c>
      <c r="R438" t="str">
        <f>"9780801440410"</f>
        <v>9780801440410</v>
      </c>
      <c r="S438" t="str">
        <f>"9781501718472"</f>
        <v>9781501718472</v>
      </c>
      <c r="T438">
        <v>1042220269</v>
      </c>
    </row>
    <row r="439" spans="1:20" x14ac:dyDescent="0.3">
      <c r="A439">
        <v>1837434</v>
      </c>
      <c r="B439" t="s">
        <v>1992</v>
      </c>
      <c r="C439" t="s">
        <v>1993</v>
      </c>
      <c r="D439" t="s">
        <v>1011</v>
      </c>
      <c r="E439" t="s">
        <v>1011</v>
      </c>
      <c r="F439">
        <v>2005</v>
      </c>
      <c r="G439" t="s">
        <v>1994</v>
      </c>
      <c r="H439" t="s">
        <v>1995</v>
      </c>
      <c r="I439" t="s">
        <v>1996</v>
      </c>
      <c r="J439" t="s">
        <v>24</v>
      </c>
      <c r="K439" t="s">
        <v>25</v>
      </c>
      <c r="L439" t="b">
        <v>1</v>
      </c>
      <c r="M439" t="s">
        <v>1997</v>
      </c>
      <c r="N439" t="str">
        <f>"338.1/8597"</f>
        <v>338.1/8597</v>
      </c>
      <c r="O439" t="s">
        <v>1998</v>
      </c>
      <c r="P439" t="b">
        <v>0</v>
      </c>
      <c r="R439" t="str">
        <f>"9780801443015"</f>
        <v>9780801443015</v>
      </c>
      <c r="S439" t="str">
        <f>"9781501722011"</f>
        <v>9781501722011</v>
      </c>
      <c r="T439">
        <v>889235852</v>
      </c>
    </row>
    <row r="440" spans="1:20" x14ac:dyDescent="0.3">
      <c r="A440">
        <v>1837432</v>
      </c>
      <c r="B440" t="s">
        <v>1999</v>
      </c>
      <c r="C440" t="s">
        <v>2000</v>
      </c>
      <c r="D440" t="s">
        <v>1011</v>
      </c>
      <c r="E440" t="s">
        <v>1011</v>
      </c>
      <c r="F440">
        <v>2003</v>
      </c>
      <c r="G440" t="s">
        <v>1032</v>
      </c>
      <c r="H440" t="s">
        <v>2001</v>
      </c>
      <c r="I440" t="s">
        <v>2002</v>
      </c>
      <c r="J440" t="s">
        <v>24</v>
      </c>
      <c r="K440" t="s">
        <v>25</v>
      </c>
      <c r="L440" t="b">
        <v>1</v>
      </c>
      <c r="M440" t="s">
        <v>2003</v>
      </c>
      <c r="N440" t="str">
        <f>"300/.947"</f>
        <v>300/.947</v>
      </c>
      <c r="P440" t="b">
        <v>0</v>
      </c>
      <c r="R440" t="str">
        <f>"9780801441356"</f>
        <v>9780801441356</v>
      </c>
      <c r="S440" t="str">
        <f>"9781501720765"</f>
        <v>9781501720765</v>
      </c>
      <c r="T440">
        <v>1042219528</v>
      </c>
    </row>
    <row r="441" spans="1:20" x14ac:dyDescent="0.3">
      <c r="A441">
        <v>1837431</v>
      </c>
      <c r="B441" t="s">
        <v>2004</v>
      </c>
      <c r="C441" t="s">
        <v>2005</v>
      </c>
      <c r="D441" t="s">
        <v>1011</v>
      </c>
      <c r="E441" t="s">
        <v>1011</v>
      </c>
      <c r="F441">
        <v>2003</v>
      </c>
      <c r="G441" t="s">
        <v>1319</v>
      </c>
      <c r="H441" t="s">
        <v>2006</v>
      </c>
      <c r="I441" t="s">
        <v>2007</v>
      </c>
      <c r="J441" t="s">
        <v>24</v>
      </c>
      <c r="K441" t="s">
        <v>25</v>
      </c>
      <c r="L441" t="b">
        <v>1</v>
      </c>
      <c r="M441" t="s">
        <v>2008</v>
      </c>
      <c r="N441" t="str">
        <f>"332.4"</f>
        <v>332.4</v>
      </c>
      <c r="P441" t="b">
        <v>0</v>
      </c>
      <c r="R441" t="str">
        <f>"9780801440496"</f>
        <v>9780801440496</v>
      </c>
      <c r="S441" t="str">
        <f>"9781501720727"</f>
        <v>9781501720727</v>
      </c>
      <c r="T441">
        <v>1042219880</v>
      </c>
    </row>
    <row r="442" spans="1:20" x14ac:dyDescent="0.3">
      <c r="A442">
        <v>1837428</v>
      </c>
      <c r="B442" t="s">
        <v>2009</v>
      </c>
      <c r="D442" t="s">
        <v>1011</v>
      </c>
      <c r="E442" t="s">
        <v>1011</v>
      </c>
      <c r="F442">
        <v>1996</v>
      </c>
      <c r="G442" t="s">
        <v>2010</v>
      </c>
      <c r="H442" t="s">
        <v>2011</v>
      </c>
      <c r="I442" t="s">
        <v>2012</v>
      </c>
      <c r="J442" t="s">
        <v>24</v>
      </c>
      <c r="K442" t="s">
        <v>25</v>
      </c>
      <c r="L442" t="b">
        <v>1</v>
      </c>
      <c r="M442" t="s">
        <v>2013</v>
      </c>
      <c r="N442" t="str">
        <f>"305.5094"</f>
        <v>305.5094</v>
      </c>
      <c r="P442" t="b">
        <v>0</v>
      </c>
      <c r="R442" t="str">
        <f>"9780801429224"</f>
        <v>9780801429224</v>
      </c>
      <c r="S442" t="str">
        <f>"9781501724183"</f>
        <v>9781501724183</v>
      </c>
      <c r="T442">
        <v>693787630</v>
      </c>
    </row>
    <row r="443" spans="1:20" x14ac:dyDescent="0.3">
      <c r="A443">
        <v>1837427</v>
      </c>
      <c r="B443" t="s">
        <v>2014</v>
      </c>
      <c r="C443" t="s">
        <v>2015</v>
      </c>
      <c r="D443" t="s">
        <v>1011</v>
      </c>
      <c r="E443" t="s">
        <v>1011</v>
      </c>
      <c r="F443">
        <v>2003</v>
      </c>
      <c r="G443" t="s">
        <v>1762</v>
      </c>
      <c r="H443" t="s">
        <v>2016</v>
      </c>
      <c r="I443" t="s">
        <v>2017</v>
      </c>
      <c r="J443" t="s">
        <v>24</v>
      </c>
      <c r="K443" t="s">
        <v>25</v>
      </c>
      <c r="L443" t="b">
        <v>1</v>
      </c>
      <c r="M443" t="s">
        <v>2018</v>
      </c>
      <c r="N443" t="str">
        <f>"820.9/27/0902"</f>
        <v>820.9/27/0902</v>
      </c>
      <c r="P443" t="b">
        <v>0</v>
      </c>
      <c r="R443" t="str">
        <f>"9780801441165"</f>
        <v>9780801441165</v>
      </c>
      <c r="S443" t="str">
        <f>"9781501724169"</f>
        <v>9781501724169</v>
      </c>
      <c r="T443">
        <v>1042329865</v>
      </c>
    </row>
    <row r="444" spans="1:20" x14ac:dyDescent="0.3">
      <c r="A444">
        <v>1837426</v>
      </c>
      <c r="B444" t="s">
        <v>2019</v>
      </c>
      <c r="C444" t="s">
        <v>279</v>
      </c>
      <c r="D444" t="s">
        <v>1011</v>
      </c>
      <c r="E444" t="s">
        <v>1011</v>
      </c>
      <c r="F444">
        <v>2002</v>
      </c>
      <c r="G444" t="s">
        <v>1909</v>
      </c>
      <c r="H444" t="s">
        <v>2020</v>
      </c>
      <c r="I444" t="s">
        <v>2021</v>
      </c>
      <c r="J444" t="s">
        <v>24</v>
      </c>
      <c r="K444" t="s">
        <v>25</v>
      </c>
      <c r="L444" t="b">
        <v>1</v>
      </c>
      <c r="M444" t="s">
        <v>2022</v>
      </c>
      <c r="N444" t="str">
        <f>"331.88/092;B"</f>
        <v>331.88/092;B</v>
      </c>
      <c r="P444" t="b">
        <v>0</v>
      </c>
      <c r="R444" t="str">
        <f>"9780801440618"</f>
        <v>9780801440618</v>
      </c>
      <c r="S444" t="str">
        <f>"9781501724121"</f>
        <v>9781501724121</v>
      </c>
      <c r="T444">
        <v>1036766560</v>
      </c>
    </row>
    <row r="445" spans="1:20" x14ac:dyDescent="0.3">
      <c r="A445">
        <v>1837424</v>
      </c>
      <c r="B445" t="s">
        <v>2023</v>
      </c>
      <c r="C445" t="s">
        <v>2024</v>
      </c>
      <c r="D445" t="s">
        <v>1011</v>
      </c>
      <c r="E445" t="s">
        <v>1011</v>
      </c>
      <c r="F445">
        <v>2005</v>
      </c>
      <c r="G445" t="s">
        <v>2025</v>
      </c>
      <c r="H445" t="s">
        <v>2026</v>
      </c>
      <c r="I445" t="s">
        <v>2027</v>
      </c>
      <c r="J445" t="s">
        <v>24</v>
      </c>
      <c r="K445" t="s">
        <v>25</v>
      </c>
      <c r="L445" t="b">
        <v>1</v>
      </c>
      <c r="M445" t="s">
        <v>2028</v>
      </c>
      <c r="N445" t="str">
        <f>"891.72/3"</f>
        <v>891.72/3</v>
      </c>
      <c r="P445" t="b">
        <v>0</v>
      </c>
      <c r="R445" t="str">
        <f>"9780801443152"</f>
        <v>9780801443152</v>
      </c>
      <c r="S445" t="str">
        <f>"9781501721540"</f>
        <v>9781501721540</v>
      </c>
      <c r="T445">
        <v>1042219746</v>
      </c>
    </row>
    <row r="446" spans="1:20" x14ac:dyDescent="0.3">
      <c r="A446">
        <v>1837421</v>
      </c>
      <c r="B446" t="s">
        <v>2029</v>
      </c>
      <c r="D446" t="s">
        <v>1011</v>
      </c>
      <c r="E446" t="s">
        <v>1011</v>
      </c>
      <c r="F446">
        <v>2004</v>
      </c>
      <c r="G446" t="s">
        <v>1664</v>
      </c>
      <c r="H446" t="s">
        <v>2030</v>
      </c>
      <c r="I446" t="s">
        <v>2031</v>
      </c>
      <c r="J446" t="s">
        <v>24</v>
      </c>
      <c r="K446" t="s">
        <v>25</v>
      </c>
      <c r="L446" t="b">
        <v>1</v>
      </c>
      <c r="M446" t="s">
        <v>2032</v>
      </c>
      <c r="N446" t="str">
        <f>"801"</f>
        <v>801</v>
      </c>
      <c r="P446" t="b">
        <v>0</v>
      </c>
      <c r="R446" t="str">
        <f>"9780801441806"</f>
        <v>9780801441806</v>
      </c>
      <c r="S446" t="str">
        <f>"9781501721458"</f>
        <v>9781501721458</v>
      </c>
      <c r="T446">
        <v>1042220202</v>
      </c>
    </row>
    <row r="447" spans="1:20" x14ac:dyDescent="0.3">
      <c r="A447">
        <v>1837420</v>
      </c>
      <c r="B447" t="s">
        <v>2033</v>
      </c>
      <c r="C447" t="s">
        <v>2034</v>
      </c>
      <c r="D447" t="s">
        <v>1011</v>
      </c>
      <c r="E447" t="s">
        <v>1011</v>
      </c>
      <c r="F447">
        <v>2006</v>
      </c>
      <c r="G447" t="s">
        <v>1762</v>
      </c>
      <c r="H447" t="s">
        <v>2035</v>
      </c>
      <c r="I447" t="s">
        <v>2036</v>
      </c>
      <c r="J447" t="s">
        <v>24</v>
      </c>
      <c r="K447" t="s">
        <v>25</v>
      </c>
      <c r="L447" t="b">
        <v>1</v>
      </c>
      <c r="M447" t="s">
        <v>2037</v>
      </c>
      <c r="N447" t="str">
        <f>"381/.094/0902"</f>
        <v>381/.094/0902</v>
      </c>
      <c r="P447" t="b">
        <v>0</v>
      </c>
      <c r="R447" t="str">
        <f>"9780801444128"</f>
        <v>9780801444128</v>
      </c>
      <c r="S447" t="str">
        <f>"9781501721441"</f>
        <v>9781501721441</v>
      </c>
      <c r="T447">
        <v>1042329684</v>
      </c>
    </row>
    <row r="448" spans="1:20" x14ac:dyDescent="0.3">
      <c r="A448">
        <v>1837417</v>
      </c>
      <c r="B448" t="s">
        <v>2038</v>
      </c>
      <c r="C448" t="s">
        <v>2039</v>
      </c>
      <c r="D448" t="s">
        <v>1011</v>
      </c>
      <c r="E448" t="s">
        <v>1011</v>
      </c>
      <c r="F448">
        <v>2004</v>
      </c>
      <c r="G448" t="s">
        <v>145</v>
      </c>
      <c r="H448" t="s">
        <v>2040</v>
      </c>
      <c r="I448" t="s">
        <v>2041</v>
      </c>
      <c r="J448" t="s">
        <v>24</v>
      </c>
      <c r="K448" t="s">
        <v>25</v>
      </c>
      <c r="L448" t="b">
        <v>1</v>
      </c>
      <c r="M448" t="s">
        <v>2042</v>
      </c>
      <c r="N448" t="str">
        <f>"820.9/358"</f>
        <v>820.9/358</v>
      </c>
      <c r="P448" t="b">
        <v>0</v>
      </c>
      <c r="R448" t="str">
        <f>"9780801441745"</f>
        <v>9780801441745</v>
      </c>
      <c r="S448" t="str">
        <f>"9781501723964"</f>
        <v>9781501723964</v>
      </c>
      <c r="T448">
        <v>1041067318</v>
      </c>
    </row>
    <row r="449" spans="1:20" x14ac:dyDescent="0.3">
      <c r="A449">
        <v>1837416</v>
      </c>
      <c r="B449" t="s">
        <v>2043</v>
      </c>
      <c r="C449" t="s">
        <v>2044</v>
      </c>
      <c r="D449" t="s">
        <v>1011</v>
      </c>
      <c r="E449" t="s">
        <v>1011</v>
      </c>
      <c r="F449">
        <v>2003</v>
      </c>
      <c r="G449" t="s">
        <v>870</v>
      </c>
      <c r="H449" t="s">
        <v>2045</v>
      </c>
      <c r="I449" t="s">
        <v>2046</v>
      </c>
      <c r="J449" t="s">
        <v>24</v>
      </c>
      <c r="K449" t="s">
        <v>25</v>
      </c>
      <c r="L449" t="b">
        <v>1</v>
      </c>
      <c r="M449" t="s">
        <v>2047</v>
      </c>
      <c r="N449" t="str">
        <f>"616.89/00943/09034"</f>
        <v>616.89/00943/09034</v>
      </c>
      <c r="O449" t="s">
        <v>1981</v>
      </c>
      <c r="P449" t="b">
        <v>0</v>
      </c>
      <c r="R449" t="str">
        <f>"9780801441950"</f>
        <v>9780801441950</v>
      </c>
      <c r="S449" t="str">
        <f>"9781501723940"</f>
        <v>9781501723940</v>
      </c>
      <c r="T449">
        <v>1042220027</v>
      </c>
    </row>
    <row r="450" spans="1:20" x14ac:dyDescent="0.3">
      <c r="A450">
        <v>1837415</v>
      </c>
      <c r="B450" t="s">
        <v>2048</v>
      </c>
      <c r="C450" t="s">
        <v>2049</v>
      </c>
      <c r="D450" t="s">
        <v>1011</v>
      </c>
      <c r="E450" t="s">
        <v>1011</v>
      </c>
      <c r="F450">
        <v>1992</v>
      </c>
      <c r="G450" t="s">
        <v>1319</v>
      </c>
      <c r="H450" t="s">
        <v>2050</v>
      </c>
      <c r="I450" t="s">
        <v>2051</v>
      </c>
      <c r="J450" t="s">
        <v>24</v>
      </c>
      <c r="K450" t="s">
        <v>25</v>
      </c>
      <c r="L450" t="b">
        <v>1</v>
      </c>
      <c r="M450" t="s">
        <v>2052</v>
      </c>
      <c r="N450" t="str">
        <f>"332.6/7352073"</f>
        <v>332.6/7352073</v>
      </c>
      <c r="O450" t="s">
        <v>1334</v>
      </c>
      <c r="P450" t="b">
        <v>0</v>
      </c>
      <c r="R450" t="str">
        <f>"9780801427336"</f>
        <v>9780801427336</v>
      </c>
      <c r="S450" t="str">
        <f>"9781501723919"</f>
        <v>9781501723919</v>
      </c>
      <c r="T450">
        <v>1042220025</v>
      </c>
    </row>
    <row r="451" spans="1:20" x14ac:dyDescent="0.3">
      <c r="A451">
        <v>1837414</v>
      </c>
      <c r="B451" t="s">
        <v>2053</v>
      </c>
      <c r="C451" t="s">
        <v>2054</v>
      </c>
      <c r="D451" t="s">
        <v>1011</v>
      </c>
      <c r="E451" t="s">
        <v>1011</v>
      </c>
      <c r="F451">
        <v>1990</v>
      </c>
      <c r="G451" t="s">
        <v>1778</v>
      </c>
      <c r="H451" t="s">
        <v>2055</v>
      </c>
      <c r="I451" t="s">
        <v>2056</v>
      </c>
      <c r="J451" t="s">
        <v>24</v>
      </c>
      <c r="K451" t="s">
        <v>25</v>
      </c>
      <c r="L451" t="b">
        <v>1</v>
      </c>
      <c r="M451" t="s">
        <v>2057</v>
      </c>
      <c r="N451" t="str">
        <f>"820.9/145"</f>
        <v>820.9/145</v>
      </c>
      <c r="P451" t="b">
        <v>0</v>
      </c>
      <c r="R451" t="str">
        <f>"9780801423789"</f>
        <v>9780801423789</v>
      </c>
      <c r="S451" t="str">
        <f>"9781501721281"</f>
        <v>9781501721281</v>
      </c>
      <c r="T451">
        <v>1042220157</v>
      </c>
    </row>
    <row r="452" spans="1:20" x14ac:dyDescent="0.3">
      <c r="A452">
        <v>1837413</v>
      </c>
      <c r="B452" t="s">
        <v>2058</v>
      </c>
      <c r="C452" t="s">
        <v>2059</v>
      </c>
      <c r="D452" t="s">
        <v>1011</v>
      </c>
      <c r="E452" t="s">
        <v>1011</v>
      </c>
      <c r="F452">
        <v>1994</v>
      </c>
      <c r="G452" t="s">
        <v>1050</v>
      </c>
      <c r="H452" t="s">
        <v>2060</v>
      </c>
      <c r="I452" t="s">
        <v>2061</v>
      </c>
      <c r="J452" t="s">
        <v>24</v>
      </c>
      <c r="K452" t="s">
        <v>25</v>
      </c>
      <c r="L452" t="b">
        <v>1</v>
      </c>
      <c r="M452" t="s">
        <v>2062</v>
      </c>
      <c r="N452" t="str">
        <f>"959.604"</f>
        <v>959.604</v>
      </c>
      <c r="O452" t="s">
        <v>2063</v>
      </c>
      <c r="P452" t="b">
        <v>0</v>
      </c>
      <c r="R452" t="str">
        <f>"9780801429675"</f>
        <v>9780801429675</v>
      </c>
      <c r="S452" t="str">
        <f>"9781501723858"</f>
        <v>9781501723858</v>
      </c>
      <c r="T452">
        <v>623849500</v>
      </c>
    </row>
    <row r="453" spans="1:20" x14ac:dyDescent="0.3">
      <c r="A453">
        <v>1837412</v>
      </c>
      <c r="B453" t="s">
        <v>2064</v>
      </c>
      <c r="C453" t="s">
        <v>2065</v>
      </c>
      <c r="D453" t="s">
        <v>1011</v>
      </c>
      <c r="E453" t="s">
        <v>1011</v>
      </c>
      <c r="F453">
        <v>1994</v>
      </c>
      <c r="G453" t="s">
        <v>2066</v>
      </c>
      <c r="H453" t="s">
        <v>2067</v>
      </c>
      <c r="I453" t="s">
        <v>2068</v>
      </c>
      <c r="J453" t="s">
        <v>24</v>
      </c>
      <c r="K453" t="s">
        <v>25</v>
      </c>
      <c r="L453" t="b">
        <v>1</v>
      </c>
      <c r="M453" t="s">
        <v>2069</v>
      </c>
      <c r="N453" t="str">
        <f>"331.4/0974"</f>
        <v>331.4/0974</v>
      </c>
      <c r="P453" t="b">
        <v>0</v>
      </c>
      <c r="R453" t="str">
        <f>"9780801428449"</f>
        <v>9780801428449</v>
      </c>
      <c r="S453" t="str">
        <f>"9781501723827"</f>
        <v>9781501723827</v>
      </c>
      <c r="T453">
        <v>1042219299</v>
      </c>
    </row>
    <row r="454" spans="1:20" x14ac:dyDescent="0.3">
      <c r="A454">
        <v>1837410</v>
      </c>
      <c r="B454" t="s">
        <v>2070</v>
      </c>
      <c r="C454" t="s">
        <v>2071</v>
      </c>
      <c r="D454" t="s">
        <v>1011</v>
      </c>
      <c r="E454" t="s">
        <v>1011</v>
      </c>
      <c r="F454">
        <v>1999</v>
      </c>
      <c r="G454" t="s">
        <v>1588</v>
      </c>
      <c r="H454" t="s">
        <v>2072</v>
      </c>
      <c r="J454" t="s">
        <v>24</v>
      </c>
      <c r="K454" t="s">
        <v>25</v>
      </c>
      <c r="L454" t="b">
        <v>1</v>
      </c>
      <c r="M454" t="s">
        <v>2073</v>
      </c>
      <c r="N454" t="str">
        <f>"194"</f>
        <v>194</v>
      </c>
      <c r="P454" t="b">
        <v>0</v>
      </c>
      <c r="R454" t="str">
        <f>"9780801429125"</f>
        <v>9780801429125</v>
      </c>
      <c r="S454" t="str">
        <f>"9781501723742"</f>
        <v>9781501723742</v>
      </c>
      <c r="T454">
        <v>607118832</v>
      </c>
    </row>
    <row r="455" spans="1:20" x14ac:dyDescent="0.3">
      <c r="A455">
        <v>1837409</v>
      </c>
      <c r="B455" t="s">
        <v>2074</v>
      </c>
      <c r="C455" t="s">
        <v>2075</v>
      </c>
      <c r="D455" t="s">
        <v>1011</v>
      </c>
      <c r="E455" t="s">
        <v>1011</v>
      </c>
      <c r="F455">
        <v>2002</v>
      </c>
      <c r="G455" t="s">
        <v>2076</v>
      </c>
      <c r="H455" t="s">
        <v>2077</v>
      </c>
      <c r="I455" t="s">
        <v>2078</v>
      </c>
      <c r="J455" t="s">
        <v>24</v>
      </c>
      <c r="K455" t="s">
        <v>25</v>
      </c>
      <c r="L455" t="b">
        <v>1</v>
      </c>
      <c r="M455" t="s">
        <v>2079</v>
      </c>
      <c r="N455" t="str">
        <f>"394.26973"</f>
        <v>394.26973</v>
      </c>
      <c r="P455" t="b">
        <v>0</v>
      </c>
      <c r="R455" t="str">
        <f>"9780801436475"</f>
        <v>9780801436475</v>
      </c>
      <c r="S455" t="str">
        <f>"9781501723704"</f>
        <v>9781501723704</v>
      </c>
      <c r="T455">
        <v>606809689</v>
      </c>
    </row>
    <row r="456" spans="1:20" x14ac:dyDescent="0.3">
      <c r="A456">
        <v>1837407</v>
      </c>
      <c r="B456" t="s">
        <v>2080</v>
      </c>
      <c r="C456" t="s">
        <v>2081</v>
      </c>
      <c r="D456" t="s">
        <v>1011</v>
      </c>
      <c r="E456" t="s">
        <v>1011</v>
      </c>
      <c r="F456">
        <v>2003</v>
      </c>
      <c r="G456" t="s">
        <v>1319</v>
      </c>
      <c r="H456" t="s">
        <v>2082</v>
      </c>
      <c r="I456" t="s">
        <v>2083</v>
      </c>
      <c r="J456" t="s">
        <v>24</v>
      </c>
      <c r="K456" t="s">
        <v>25</v>
      </c>
      <c r="L456" t="b">
        <v>1</v>
      </c>
      <c r="M456" t="s">
        <v>2084</v>
      </c>
      <c r="N456" t="str">
        <f>"331.12/5/094"</f>
        <v>331.12/5/094</v>
      </c>
      <c r="O456" t="s">
        <v>1334</v>
      </c>
      <c r="P456" t="b">
        <v>0</v>
      </c>
      <c r="R456" t="str">
        <f>"9780801440694"</f>
        <v>9780801440694</v>
      </c>
      <c r="S456" t="str">
        <f>"9781501723629"</f>
        <v>9781501723629</v>
      </c>
      <c r="T456">
        <v>1042220232</v>
      </c>
    </row>
    <row r="457" spans="1:20" x14ac:dyDescent="0.3">
      <c r="A457">
        <v>1837406</v>
      </c>
      <c r="B457" t="s">
        <v>2085</v>
      </c>
      <c r="C457" t="s">
        <v>2086</v>
      </c>
      <c r="D457" t="s">
        <v>1011</v>
      </c>
      <c r="E457" t="s">
        <v>1011</v>
      </c>
      <c r="F457">
        <v>2003</v>
      </c>
      <c r="G457" t="s">
        <v>1319</v>
      </c>
      <c r="H457" t="s">
        <v>2087</v>
      </c>
      <c r="I457" t="s">
        <v>2088</v>
      </c>
      <c r="J457" t="s">
        <v>24</v>
      </c>
      <c r="K457" t="s">
        <v>25</v>
      </c>
      <c r="L457" t="b">
        <v>1</v>
      </c>
      <c r="M457" t="s">
        <v>2089</v>
      </c>
      <c r="N457" t="str">
        <f>"332.67/3/0973"</f>
        <v>332.67/3/0973</v>
      </c>
      <c r="P457" t="b">
        <v>0</v>
      </c>
      <c r="R457" t="str">
        <f>"9780801441233"</f>
        <v>9780801441233</v>
      </c>
      <c r="S457" t="str">
        <f>"9781501723612"</f>
        <v>9781501723612</v>
      </c>
      <c r="T457">
        <v>1042219263</v>
      </c>
    </row>
    <row r="458" spans="1:20" x14ac:dyDescent="0.3">
      <c r="A458">
        <v>1837405</v>
      </c>
      <c r="B458" t="s">
        <v>2090</v>
      </c>
      <c r="C458" t="s">
        <v>2091</v>
      </c>
      <c r="D458" t="s">
        <v>1011</v>
      </c>
      <c r="E458" t="s">
        <v>1011</v>
      </c>
      <c r="F458">
        <v>1995</v>
      </c>
      <c r="G458" t="s">
        <v>1817</v>
      </c>
      <c r="H458" t="s">
        <v>2092</v>
      </c>
      <c r="I458" t="s">
        <v>2093</v>
      </c>
      <c r="J458" t="s">
        <v>24</v>
      </c>
      <c r="K458" t="s">
        <v>25</v>
      </c>
      <c r="L458" t="b">
        <v>1</v>
      </c>
      <c r="M458" t="s">
        <v>2094</v>
      </c>
      <c r="N458" t="str">
        <f>"883/.01"</f>
        <v>883/.01</v>
      </c>
      <c r="O458" t="s">
        <v>2095</v>
      </c>
      <c r="P458" t="b">
        <v>0</v>
      </c>
      <c r="R458" t="str">
        <f>"9780801431210"</f>
        <v>9780801431210</v>
      </c>
      <c r="S458" t="str">
        <f>"9781501723506"</f>
        <v>9781501723506</v>
      </c>
      <c r="T458">
        <v>604804156</v>
      </c>
    </row>
    <row r="459" spans="1:20" x14ac:dyDescent="0.3">
      <c r="A459">
        <v>1837404</v>
      </c>
      <c r="B459" t="s">
        <v>2096</v>
      </c>
      <c r="C459" t="s">
        <v>2097</v>
      </c>
      <c r="D459" t="s">
        <v>1011</v>
      </c>
      <c r="E459" t="s">
        <v>1011</v>
      </c>
      <c r="F459">
        <v>2003</v>
      </c>
      <c r="G459" t="s">
        <v>713</v>
      </c>
      <c r="H459" t="s">
        <v>2098</v>
      </c>
      <c r="I459" t="s">
        <v>2099</v>
      </c>
      <c r="J459" t="s">
        <v>24</v>
      </c>
      <c r="K459" t="s">
        <v>25</v>
      </c>
      <c r="L459" t="b">
        <v>1</v>
      </c>
      <c r="M459" t="s">
        <v>2100</v>
      </c>
      <c r="N459" t="str">
        <f>"322/.3/0952"</f>
        <v>322/.3/0952</v>
      </c>
      <c r="P459" t="b">
        <v>0</v>
      </c>
      <c r="R459" t="str">
        <f>"9780801440830"</f>
        <v>9780801440830</v>
      </c>
      <c r="S459" t="str">
        <f>"9781501722615"</f>
        <v>9781501722615</v>
      </c>
      <c r="T459">
        <v>1042220156</v>
      </c>
    </row>
    <row r="460" spans="1:20" x14ac:dyDescent="0.3">
      <c r="A460">
        <v>1837403</v>
      </c>
      <c r="B460" t="s">
        <v>2101</v>
      </c>
      <c r="C460" t="s">
        <v>2102</v>
      </c>
      <c r="D460" t="s">
        <v>1011</v>
      </c>
      <c r="E460" t="s">
        <v>1011</v>
      </c>
      <c r="F460">
        <v>1993</v>
      </c>
      <c r="G460" t="s">
        <v>2103</v>
      </c>
      <c r="H460" t="s">
        <v>2104</v>
      </c>
      <c r="I460" t="s">
        <v>2105</v>
      </c>
      <c r="J460" t="s">
        <v>24</v>
      </c>
      <c r="K460" t="s">
        <v>25</v>
      </c>
      <c r="L460" t="b">
        <v>1</v>
      </c>
      <c r="M460" t="s">
        <v>2106</v>
      </c>
      <c r="N460" t="str">
        <f>"810.9/9287"</f>
        <v>810.9/9287</v>
      </c>
      <c r="O460" t="s">
        <v>1612</v>
      </c>
      <c r="P460" t="b">
        <v>0</v>
      </c>
      <c r="R460" t="str">
        <f>"9780801424151"</f>
        <v>9780801424151</v>
      </c>
      <c r="S460" t="str">
        <f>"9781501721120"</f>
        <v>9781501721120</v>
      </c>
      <c r="T460">
        <v>624318593</v>
      </c>
    </row>
    <row r="461" spans="1:20" x14ac:dyDescent="0.3">
      <c r="A461">
        <v>1837401</v>
      </c>
      <c r="B461" t="s">
        <v>2107</v>
      </c>
      <c r="C461" t="s">
        <v>2108</v>
      </c>
      <c r="D461" t="s">
        <v>1011</v>
      </c>
      <c r="E461" t="s">
        <v>1011</v>
      </c>
      <c r="F461">
        <v>2004</v>
      </c>
      <c r="G461" t="s">
        <v>1745</v>
      </c>
      <c r="H461" t="s">
        <v>2109</v>
      </c>
      <c r="I461" t="s">
        <v>2110</v>
      </c>
      <c r="J461" t="s">
        <v>24</v>
      </c>
      <c r="K461" t="s">
        <v>25</v>
      </c>
      <c r="L461" t="b">
        <v>1</v>
      </c>
      <c r="M461" t="s">
        <v>2111</v>
      </c>
      <c r="N461" t="str">
        <f>"331"</f>
        <v>331</v>
      </c>
      <c r="P461" t="b">
        <v>0</v>
      </c>
      <c r="R461" t="str">
        <f>"9780801442087"</f>
        <v>9780801442087</v>
      </c>
      <c r="S461" t="str">
        <f>"9781501722387"</f>
        <v>9781501722387</v>
      </c>
      <c r="T461">
        <v>1042219983</v>
      </c>
    </row>
    <row r="462" spans="1:20" x14ac:dyDescent="0.3">
      <c r="A462">
        <v>1837400</v>
      </c>
      <c r="B462" t="s">
        <v>2112</v>
      </c>
      <c r="C462" t="s">
        <v>2113</v>
      </c>
      <c r="D462" t="s">
        <v>1011</v>
      </c>
      <c r="E462" t="s">
        <v>1011</v>
      </c>
      <c r="F462">
        <v>1993</v>
      </c>
      <c r="G462" t="s">
        <v>1054</v>
      </c>
      <c r="H462" t="s">
        <v>2114</v>
      </c>
      <c r="I462" t="s">
        <v>2115</v>
      </c>
      <c r="J462" t="s">
        <v>24</v>
      </c>
      <c r="K462" t="s">
        <v>25</v>
      </c>
      <c r="L462" t="b">
        <v>1</v>
      </c>
      <c r="M462" t="s">
        <v>2116</v>
      </c>
      <c r="N462" t="str">
        <f>"822.3/3"</f>
        <v>822.3/3</v>
      </c>
      <c r="P462" t="b">
        <v>0</v>
      </c>
      <c r="R462" t="str">
        <f>"9780801428906"</f>
        <v>9780801428906</v>
      </c>
      <c r="S462" t="str">
        <f>"9781501722301"</f>
        <v>9781501722301</v>
      </c>
      <c r="T462">
        <v>707181871</v>
      </c>
    </row>
    <row r="463" spans="1:20" x14ac:dyDescent="0.3">
      <c r="A463">
        <v>1837394</v>
      </c>
      <c r="B463" t="s">
        <v>2117</v>
      </c>
      <c r="D463" t="s">
        <v>1011</v>
      </c>
      <c r="E463" t="s">
        <v>1011</v>
      </c>
      <c r="F463">
        <v>2005</v>
      </c>
      <c r="G463" t="s">
        <v>1313</v>
      </c>
      <c r="H463" t="s">
        <v>2118</v>
      </c>
      <c r="I463" t="s">
        <v>2119</v>
      </c>
      <c r="J463" t="s">
        <v>24</v>
      </c>
      <c r="K463" t="s">
        <v>25</v>
      </c>
      <c r="L463" t="b">
        <v>1</v>
      </c>
      <c r="M463" t="s">
        <v>2120</v>
      </c>
      <c r="N463" t="str">
        <f>"792/.01"</f>
        <v>792/.01</v>
      </c>
      <c r="P463" t="b">
        <v>0</v>
      </c>
      <c r="R463" t="str">
        <f>"9780801443091"</f>
        <v>9780801443091</v>
      </c>
      <c r="S463" t="str">
        <f>"9781501720994"</f>
        <v>9781501720994</v>
      </c>
      <c r="T463">
        <v>1043201613</v>
      </c>
    </row>
    <row r="464" spans="1:20" x14ac:dyDescent="0.3">
      <c r="A464">
        <v>1837391</v>
      </c>
      <c r="B464" t="s">
        <v>2121</v>
      </c>
      <c r="C464" t="s">
        <v>2122</v>
      </c>
      <c r="D464" t="s">
        <v>1011</v>
      </c>
      <c r="E464" t="s">
        <v>1011</v>
      </c>
      <c r="F464">
        <v>2005</v>
      </c>
      <c r="G464" t="s">
        <v>2123</v>
      </c>
      <c r="H464" t="s">
        <v>2124</v>
      </c>
      <c r="I464" t="s">
        <v>2125</v>
      </c>
      <c r="J464" t="s">
        <v>24</v>
      </c>
      <c r="K464" t="s">
        <v>25</v>
      </c>
      <c r="L464" t="b">
        <v>1</v>
      </c>
      <c r="M464" t="s">
        <v>2126</v>
      </c>
      <c r="N464" t="str">
        <f>"150.19/52"</f>
        <v>150.19/52</v>
      </c>
      <c r="O464" t="s">
        <v>1981</v>
      </c>
      <c r="P464" t="b">
        <v>0</v>
      </c>
      <c r="R464" t="str">
        <f>"9780801443022"</f>
        <v>9780801443022</v>
      </c>
      <c r="S464" t="str">
        <f>"9781501720666"</f>
        <v>9781501720666</v>
      </c>
      <c r="T464">
        <v>1028565110</v>
      </c>
    </row>
    <row r="465" spans="1:20" x14ac:dyDescent="0.3">
      <c r="A465">
        <v>1837389</v>
      </c>
      <c r="B465" t="s">
        <v>2127</v>
      </c>
      <c r="C465" t="s">
        <v>2128</v>
      </c>
      <c r="D465" t="s">
        <v>1011</v>
      </c>
      <c r="E465" t="s">
        <v>1011</v>
      </c>
      <c r="F465">
        <v>2005</v>
      </c>
      <c r="G465" t="s">
        <v>2129</v>
      </c>
      <c r="H465" t="s">
        <v>2130</v>
      </c>
      <c r="I465" t="s">
        <v>2131</v>
      </c>
      <c r="J465" t="s">
        <v>24</v>
      </c>
      <c r="K465" t="s">
        <v>25</v>
      </c>
      <c r="L465" t="b">
        <v>1</v>
      </c>
      <c r="M465" t="s">
        <v>2132</v>
      </c>
      <c r="N465" t="str">
        <f>"121"</f>
        <v>121</v>
      </c>
      <c r="P465" t="b">
        <v>0</v>
      </c>
      <c r="R465" t="str">
        <f>"9780801442919"</f>
        <v>9780801442919</v>
      </c>
      <c r="S465" t="str">
        <f>"9781501720574"</f>
        <v>9781501720574</v>
      </c>
      <c r="T465">
        <v>1042219981</v>
      </c>
    </row>
    <row r="466" spans="1:20" x14ac:dyDescent="0.3">
      <c r="A466">
        <v>1837388</v>
      </c>
      <c r="B466" t="s">
        <v>2133</v>
      </c>
      <c r="C466" t="s">
        <v>2134</v>
      </c>
      <c r="D466" t="s">
        <v>1011</v>
      </c>
      <c r="E466" t="s">
        <v>1011</v>
      </c>
      <c r="F466">
        <v>2003</v>
      </c>
      <c r="G466" t="s">
        <v>1046</v>
      </c>
      <c r="H466" t="s">
        <v>2135</v>
      </c>
      <c r="I466" t="s">
        <v>2136</v>
      </c>
      <c r="J466" t="s">
        <v>24</v>
      </c>
      <c r="K466" t="s">
        <v>25</v>
      </c>
      <c r="L466" t="b">
        <v>1</v>
      </c>
      <c r="M466" t="s">
        <v>2137</v>
      </c>
      <c r="N466" t="str">
        <f>"323.3/222/0947"</f>
        <v>323.3/222/0947</v>
      </c>
      <c r="P466" t="b">
        <v>0</v>
      </c>
      <c r="R466" t="str">
        <f>"9780801440298"</f>
        <v>9780801440298</v>
      </c>
      <c r="S466" t="str">
        <f>"9781501720505"</f>
        <v>9781501720505</v>
      </c>
      <c r="T466">
        <v>1042329701</v>
      </c>
    </row>
    <row r="467" spans="1:20" x14ac:dyDescent="0.3">
      <c r="A467">
        <v>1831851</v>
      </c>
      <c r="B467" t="s">
        <v>2138</v>
      </c>
      <c r="D467" t="s">
        <v>89</v>
      </c>
      <c r="E467" t="s">
        <v>89</v>
      </c>
      <c r="F467">
        <v>1905</v>
      </c>
      <c r="J467" t="s">
        <v>24</v>
      </c>
      <c r="K467" t="s">
        <v>25</v>
      </c>
      <c r="L467" t="b">
        <v>1</v>
      </c>
      <c r="M467" t="s">
        <v>2139</v>
      </c>
      <c r="P467" t="b">
        <v>0</v>
      </c>
      <c r="Q467" t="b">
        <v>0</v>
      </c>
      <c r="R467" t="str">
        <f>"9781909976610"</f>
        <v>9781909976610</v>
      </c>
      <c r="S467" t="str">
        <f>"9781910979631"</f>
        <v>9781910979631</v>
      </c>
    </row>
    <row r="468" spans="1:20" x14ac:dyDescent="0.3">
      <c r="A468">
        <v>1816073</v>
      </c>
      <c r="B468" t="s">
        <v>2140</v>
      </c>
      <c r="D468" t="s">
        <v>1011</v>
      </c>
      <c r="E468" t="s">
        <v>2141</v>
      </c>
      <c r="F468">
        <v>1993</v>
      </c>
      <c r="G468" t="s">
        <v>1439</v>
      </c>
      <c r="H468" t="s">
        <v>2142</v>
      </c>
      <c r="I468" t="s">
        <v>2143</v>
      </c>
      <c r="J468" t="s">
        <v>24</v>
      </c>
      <c r="K468" t="s">
        <v>25</v>
      </c>
      <c r="L468" t="b">
        <v>1</v>
      </c>
      <c r="M468" t="s">
        <v>2144</v>
      </c>
      <c r="N468" t="str">
        <f>"321.6"</f>
        <v>321.6</v>
      </c>
      <c r="O468" t="s">
        <v>2145</v>
      </c>
      <c r="P468" t="b">
        <v>0</v>
      </c>
      <c r="R468" t="str">
        <f>"9780877270188"</f>
        <v>9780877270188</v>
      </c>
      <c r="S468" t="str">
        <f>"9781501719257"</f>
        <v>9781501719257</v>
      </c>
      <c r="T468">
        <v>1052766412</v>
      </c>
    </row>
    <row r="469" spans="1:20" x14ac:dyDescent="0.3">
      <c r="A469">
        <v>1814830</v>
      </c>
      <c r="B469" t="s">
        <v>2146</v>
      </c>
      <c r="C469" t="s">
        <v>2147</v>
      </c>
      <c r="D469" t="s">
        <v>1011</v>
      </c>
      <c r="E469" t="s">
        <v>1011</v>
      </c>
      <c r="F469">
        <v>1986</v>
      </c>
      <c r="G469" t="s">
        <v>1573</v>
      </c>
      <c r="H469" t="s">
        <v>2148</v>
      </c>
      <c r="I469" t="s">
        <v>2149</v>
      </c>
      <c r="J469" t="s">
        <v>24</v>
      </c>
      <c r="K469" t="s">
        <v>25</v>
      </c>
      <c r="L469" t="b">
        <v>1</v>
      </c>
      <c r="M469" t="s">
        <v>2150</v>
      </c>
      <c r="N469" t="str">
        <f>"331/.0944"</f>
        <v>331/.0944</v>
      </c>
      <c r="P469" t="b">
        <v>0</v>
      </c>
      <c r="R469" t="str">
        <f>"9780801416972"</f>
        <v>9780801416972</v>
      </c>
      <c r="S469" t="str">
        <f>"9781501711237"</f>
        <v>9781501711237</v>
      </c>
      <c r="T469">
        <v>1052766546</v>
      </c>
    </row>
    <row r="470" spans="1:20" x14ac:dyDescent="0.3">
      <c r="A470">
        <v>1814827</v>
      </c>
      <c r="B470" t="s">
        <v>2151</v>
      </c>
      <c r="D470" t="s">
        <v>1011</v>
      </c>
      <c r="E470" t="s">
        <v>1011</v>
      </c>
      <c r="F470">
        <v>1992</v>
      </c>
      <c r="G470" t="s">
        <v>2152</v>
      </c>
      <c r="H470" t="s">
        <v>2153</v>
      </c>
      <c r="I470" t="s">
        <v>2154</v>
      </c>
      <c r="J470" t="s">
        <v>24</v>
      </c>
      <c r="K470" t="s">
        <v>25</v>
      </c>
      <c r="L470" t="b">
        <v>1</v>
      </c>
      <c r="M470" t="s">
        <v>2155</v>
      </c>
      <c r="N470" t="str">
        <f>"575.1"</f>
        <v>575.1</v>
      </c>
      <c r="P470" t="b">
        <v>0</v>
      </c>
      <c r="R470" t="str">
        <f>"9780801426803"</f>
        <v>9780801426803</v>
      </c>
      <c r="S470" t="str">
        <f>"9781501717345"</f>
        <v>9781501717345</v>
      </c>
      <c r="T470">
        <v>645823827</v>
      </c>
    </row>
    <row r="471" spans="1:20" x14ac:dyDescent="0.3">
      <c r="A471">
        <v>1814825</v>
      </c>
      <c r="B471" t="s">
        <v>2156</v>
      </c>
      <c r="C471" t="s">
        <v>2157</v>
      </c>
      <c r="D471" t="s">
        <v>1011</v>
      </c>
      <c r="E471" t="s">
        <v>1011</v>
      </c>
      <c r="F471">
        <v>2005</v>
      </c>
      <c r="G471" t="s">
        <v>2158</v>
      </c>
      <c r="H471" t="s">
        <v>2159</v>
      </c>
      <c r="I471" t="s">
        <v>2160</v>
      </c>
      <c r="J471" t="s">
        <v>24</v>
      </c>
      <c r="K471" t="s">
        <v>25</v>
      </c>
      <c r="L471" t="b">
        <v>1</v>
      </c>
      <c r="M471" t="s">
        <v>2161</v>
      </c>
      <c r="N471" t="str">
        <f>"809/.915"</f>
        <v>809/.915</v>
      </c>
      <c r="P471" t="b">
        <v>0</v>
      </c>
      <c r="R471" t="str">
        <f>"9780801443695"</f>
        <v>9780801443695</v>
      </c>
      <c r="S471" t="str">
        <f>"9781501711299"</f>
        <v>9781501711299</v>
      </c>
      <c r="T471">
        <v>1052766547</v>
      </c>
    </row>
    <row r="472" spans="1:20" x14ac:dyDescent="0.3">
      <c r="A472">
        <v>1814822</v>
      </c>
      <c r="B472" t="s">
        <v>2162</v>
      </c>
      <c r="C472" t="s">
        <v>2163</v>
      </c>
      <c r="D472" t="s">
        <v>1011</v>
      </c>
      <c r="E472" t="s">
        <v>1011</v>
      </c>
      <c r="F472">
        <v>1997</v>
      </c>
      <c r="G472" t="s">
        <v>1041</v>
      </c>
      <c r="H472" t="s">
        <v>2164</v>
      </c>
      <c r="I472" t="s">
        <v>2165</v>
      </c>
      <c r="J472" t="s">
        <v>24</v>
      </c>
      <c r="K472" t="s">
        <v>25</v>
      </c>
      <c r="L472" t="b">
        <v>1</v>
      </c>
      <c r="M472" t="s">
        <v>2166</v>
      </c>
      <c r="N472" t="str">
        <f>"361.973"</f>
        <v>361.973</v>
      </c>
      <c r="P472" t="b">
        <v>0</v>
      </c>
      <c r="R472" t="str">
        <f>"9780801430282"</f>
        <v>9780801430282</v>
      </c>
      <c r="S472" t="str">
        <f>"9781501717482"</f>
        <v>9781501717482</v>
      </c>
      <c r="T472">
        <v>1052766586</v>
      </c>
    </row>
    <row r="473" spans="1:20" x14ac:dyDescent="0.3">
      <c r="A473">
        <v>1814424</v>
      </c>
      <c r="B473" t="s">
        <v>2167</v>
      </c>
      <c r="C473" t="s">
        <v>2168</v>
      </c>
      <c r="D473" t="s">
        <v>423</v>
      </c>
      <c r="E473" t="s">
        <v>2169</v>
      </c>
      <c r="F473">
        <v>2000</v>
      </c>
      <c r="G473" t="s">
        <v>1642</v>
      </c>
      <c r="J473" t="s">
        <v>24</v>
      </c>
      <c r="K473" t="s">
        <v>55</v>
      </c>
      <c r="L473" t="b">
        <v>1</v>
      </c>
      <c r="M473" t="s">
        <v>2170</v>
      </c>
      <c r="O473" t="s">
        <v>2171</v>
      </c>
      <c r="P473" t="b">
        <v>0</v>
      </c>
      <c r="R473" t="str">
        <f>"9780745315010"</f>
        <v>9780745315010</v>
      </c>
      <c r="S473" t="str">
        <f>"9781783718603"</f>
        <v>9781783718603</v>
      </c>
    </row>
    <row r="474" spans="1:20" x14ac:dyDescent="0.3">
      <c r="A474">
        <v>1810844</v>
      </c>
      <c r="B474" t="s">
        <v>2172</v>
      </c>
      <c r="C474" t="s">
        <v>2173</v>
      </c>
      <c r="D474" t="s">
        <v>423</v>
      </c>
      <c r="E474" t="s">
        <v>2169</v>
      </c>
      <c r="F474">
        <v>2005</v>
      </c>
      <c r="G474" t="s">
        <v>717</v>
      </c>
      <c r="J474" t="s">
        <v>24</v>
      </c>
      <c r="K474" t="s">
        <v>55</v>
      </c>
      <c r="L474" t="b">
        <v>1</v>
      </c>
      <c r="M474" t="s">
        <v>2174</v>
      </c>
      <c r="P474" t="b">
        <v>0</v>
      </c>
      <c r="R474" t="str">
        <f>"9780745319681"</f>
        <v>9780745319681</v>
      </c>
      <c r="S474" t="str">
        <f>"9781783719044"</f>
        <v>9781783719044</v>
      </c>
    </row>
    <row r="475" spans="1:20" x14ac:dyDescent="0.3">
      <c r="A475">
        <v>1810545</v>
      </c>
      <c r="B475" t="s">
        <v>2175</v>
      </c>
      <c r="D475" t="s">
        <v>423</v>
      </c>
      <c r="E475" t="s">
        <v>2176</v>
      </c>
      <c r="F475">
        <v>2009</v>
      </c>
      <c r="G475" t="s">
        <v>314</v>
      </c>
      <c r="J475" t="s">
        <v>24</v>
      </c>
      <c r="K475" t="s">
        <v>25</v>
      </c>
      <c r="L475" t="b">
        <v>1</v>
      </c>
      <c r="M475" t="s">
        <v>2177</v>
      </c>
      <c r="O475" t="s">
        <v>2178</v>
      </c>
      <c r="P475" t="b">
        <v>0</v>
      </c>
      <c r="R475" t="str">
        <f>"9781847691682"</f>
        <v>9781847691682</v>
      </c>
      <c r="S475" t="str">
        <f>"9781847691705"</f>
        <v>9781847691705</v>
      </c>
    </row>
    <row r="476" spans="1:20" x14ac:dyDescent="0.3">
      <c r="A476">
        <v>1810495</v>
      </c>
      <c r="B476" t="s">
        <v>2179</v>
      </c>
      <c r="C476" t="s">
        <v>2180</v>
      </c>
      <c r="D476" t="s">
        <v>423</v>
      </c>
      <c r="E476" t="s">
        <v>2176</v>
      </c>
      <c r="F476">
        <v>2009</v>
      </c>
      <c r="G476" t="s">
        <v>2181</v>
      </c>
      <c r="J476" t="s">
        <v>24</v>
      </c>
      <c r="K476" t="s">
        <v>25</v>
      </c>
      <c r="L476" t="b">
        <v>1</v>
      </c>
      <c r="M476" t="s">
        <v>2182</v>
      </c>
      <c r="O476" t="s">
        <v>2178</v>
      </c>
      <c r="P476" t="b">
        <v>0</v>
      </c>
      <c r="R476" t="str">
        <f>"9781847690609"</f>
        <v>9781847690609</v>
      </c>
      <c r="S476" t="str">
        <f>"9781847690623"</f>
        <v>9781847690623</v>
      </c>
    </row>
    <row r="477" spans="1:20" x14ac:dyDescent="0.3">
      <c r="A477">
        <v>1793070</v>
      </c>
      <c r="B477" t="s">
        <v>2183</v>
      </c>
      <c r="C477" t="s">
        <v>2184</v>
      </c>
      <c r="D477" t="s">
        <v>882</v>
      </c>
      <c r="E477" t="s">
        <v>883</v>
      </c>
      <c r="F477">
        <v>2018</v>
      </c>
      <c r="G477" t="s">
        <v>145</v>
      </c>
      <c r="H477" t="s">
        <v>2185</v>
      </c>
      <c r="I477" t="s">
        <v>2186</v>
      </c>
      <c r="J477" t="s">
        <v>24</v>
      </c>
      <c r="K477" t="s">
        <v>25</v>
      </c>
      <c r="L477" t="b">
        <v>1</v>
      </c>
      <c r="M477" t="s">
        <v>2187</v>
      </c>
      <c r="N477" t="str">
        <f>"820.9"</f>
        <v>820.9</v>
      </c>
      <c r="P477" t="b">
        <v>0</v>
      </c>
      <c r="Q477" t="b">
        <v>0</v>
      </c>
      <c r="R477" t="str">
        <f>"9781487500986"</f>
        <v>9781487500986</v>
      </c>
      <c r="S477" t="str">
        <f>"9781487512200"</f>
        <v>9781487512200</v>
      </c>
      <c r="T477">
        <v>1031706393</v>
      </c>
    </row>
    <row r="478" spans="1:20" x14ac:dyDescent="0.3">
      <c r="A478">
        <v>1781619</v>
      </c>
      <c r="B478" t="s">
        <v>2188</v>
      </c>
      <c r="D478" t="s">
        <v>2189</v>
      </c>
      <c r="E478" t="s">
        <v>2189</v>
      </c>
      <c r="F478">
        <v>2013</v>
      </c>
      <c r="J478" t="s">
        <v>442</v>
      </c>
      <c r="K478" t="s">
        <v>25</v>
      </c>
      <c r="L478" t="b">
        <v>1</v>
      </c>
      <c r="M478" t="s">
        <v>2190</v>
      </c>
      <c r="P478" t="b">
        <v>0</v>
      </c>
      <c r="Q478" t="b">
        <v>0</v>
      </c>
      <c r="R478" t="str">
        <f>"9783940924049"</f>
        <v>9783940924049</v>
      </c>
      <c r="S478" t="str">
        <f>"9783940924094"</f>
        <v>9783940924094</v>
      </c>
    </row>
    <row r="479" spans="1:20" x14ac:dyDescent="0.3">
      <c r="A479">
        <v>1781608</v>
      </c>
      <c r="B479" t="s">
        <v>2191</v>
      </c>
      <c r="D479" t="s">
        <v>2189</v>
      </c>
      <c r="E479" t="s">
        <v>2189</v>
      </c>
      <c r="F479">
        <v>2014</v>
      </c>
      <c r="J479" t="s">
        <v>442</v>
      </c>
      <c r="K479" t="s">
        <v>25</v>
      </c>
      <c r="L479" t="b">
        <v>1</v>
      </c>
      <c r="M479" t="s">
        <v>2192</v>
      </c>
      <c r="P479" t="b">
        <v>0</v>
      </c>
      <c r="Q479" t="b">
        <v>0</v>
      </c>
      <c r="R479" t="str">
        <f>"9783940924247"</f>
        <v>9783940924247</v>
      </c>
      <c r="S479" t="str">
        <f>"9783940924254"</f>
        <v>9783940924254</v>
      </c>
    </row>
    <row r="480" spans="1:20" x14ac:dyDescent="0.3">
      <c r="A480">
        <v>1781607</v>
      </c>
      <c r="B480" t="s">
        <v>2193</v>
      </c>
      <c r="D480" t="s">
        <v>2189</v>
      </c>
      <c r="E480" t="s">
        <v>2189</v>
      </c>
      <c r="F480">
        <v>2014</v>
      </c>
      <c r="J480" t="s">
        <v>442</v>
      </c>
      <c r="K480" t="s">
        <v>25</v>
      </c>
      <c r="L480" t="b">
        <v>1</v>
      </c>
      <c r="M480" t="s">
        <v>2192</v>
      </c>
      <c r="P480" t="b">
        <v>0</v>
      </c>
      <c r="Q480" t="b">
        <v>0</v>
      </c>
      <c r="R480" t="str">
        <f>"9783940924223"</f>
        <v>9783940924223</v>
      </c>
      <c r="S480" t="str">
        <f>"9783940924230"</f>
        <v>9783940924230</v>
      </c>
    </row>
    <row r="481" spans="1:20" x14ac:dyDescent="0.3">
      <c r="A481">
        <v>1781606</v>
      </c>
      <c r="B481" t="s">
        <v>2194</v>
      </c>
      <c r="D481" t="s">
        <v>2189</v>
      </c>
      <c r="E481" t="s">
        <v>2189</v>
      </c>
      <c r="F481">
        <v>2014</v>
      </c>
      <c r="J481" t="s">
        <v>442</v>
      </c>
      <c r="K481" t="s">
        <v>25</v>
      </c>
      <c r="L481" t="b">
        <v>1</v>
      </c>
      <c r="M481" t="s">
        <v>2192</v>
      </c>
      <c r="P481" t="b">
        <v>0</v>
      </c>
      <c r="Q481" t="b">
        <v>0</v>
      </c>
      <c r="R481" t="str">
        <f>"9783940924445"</f>
        <v>9783940924445</v>
      </c>
      <c r="S481" t="str">
        <f>"9783940924452"</f>
        <v>9783940924452</v>
      </c>
    </row>
    <row r="482" spans="1:20" x14ac:dyDescent="0.3">
      <c r="A482">
        <v>1781605</v>
      </c>
      <c r="B482" t="s">
        <v>2195</v>
      </c>
      <c r="D482" t="s">
        <v>2189</v>
      </c>
      <c r="E482" t="s">
        <v>2189</v>
      </c>
      <c r="F482">
        <v>2015</v>
      </c>
      <c r="J482" t="s">
        <v>442</v>
      </c>
      <c r="K482" t="s">
        <v>25</v>
      </c>
      <c r="L482" t="b">
        <v>1</v>
      </c>
      <c r="M482" t="s">
        <v>2196</v>
      </c>
      <c r="P482" t="b">
        <v>0</v>
      </c>
      <c r="Q482" t="b">
        <v>0</v>
      </c>
      <c r="R482" t="str">
        <f>"9783940924469"</f>
        <v>9783940924469</v>
      </c>
      <c r="S482" t="str">
        <f>"9783940924476"</f>
        <v>9783940924476</v>
      </c>
    </row>
    <row r="483" spans="1:20" x14ac:dyDescent="0.3">
      <c r="A483">
        <v>1781600</v>
      </c>
      <c r="B483" t="s">
        <v>2197</v>
      </c>
      <c r="D483" t="s">
        <v>2189</v>
      </c>
      <c r="E483" t="s">
        <v>2189</v>
      </c>
      <c r="F483">
        <v>2015</v>
      </c>
      <c r="J483" t="s">
        <v>442</v>
      </c>
      <c r="K483" t="s">
        <v>25</v>
      </c>
      <c r="L483" t="b">
        <v>1</v>
      </c>
      <c r="M483" t="s">
        <v>2198</v>
      </c>
      <c r="P483" t="b">
        <v>0</v>
      </c>
      <c r="Q483" t="b">
        <v>0</v>
      </c>
      <c r="R483" t="str">
        <f>"9783940924605"</f>
        <v>9783940924605</v>
      </c>
      <c r="S483" t="str">
        <f>"9783940924612"</f>
        <v>9783940924612</v>
      </c>
    </row>
    <row r="484" spans="1:20" x14ac:dyDescent="0.3">
      <c r="A484">
        <v>1781599</v>
      </c>
      <c r="B484" t="s">
        <v>2199</v>
      </c>
      <c r="D484" t="s">
        <v>2189</v>
      </c>
      <c r="E484" t="s">
        <v>2189</v>
      </c>
      <c r="F484">
        <v>2015</v>
      </c>
      <c r="J484" t="s">
        <v>442</v>
      </c>
      <c r="K484" t="s">
        <v>25</v>
      </c>
      <c r="L484" t="b">
        <v>1</v>
      </c>
      <c r="M484" t="s">
        <v>2200</v>
      </c>
      <c r="P484" t="b">
        <v>0</v>
      </c>
      <c r="Q484" t="b">
        <v>0</v>
      </c>
      <c r="R484" t="str">
        <f>"9783940924544"</f>
        <v>9783940924544</v>
      </c>
      <c r="S484" t="str">
        <f>"9783940924551"</f>
        <v>9783940924551</v>
      </c>
    </row>
    <row r="485" spans="1:20" x14ac:dyDescent="0.3">
      <c r="A485">
        <v>1780767</v>
      </c>
      <c r="B485" t="s">
        <v>2201</v>
      </c>
      <c r="C485" t="s">
        <v>2202</v>
      </c>
      <c r="D485" t="s">
        <v>2203</v>
      </c>
      <c r="E485" t="s">
        <v>2203</v>
      </c>
      <c r="F485">
        <v>2004</v>
      </c>
      <c r="G485" t="s">
        <v>60</v>
      </c>
      <c r="H485" t="s">
        <v>2204</v>
      </c>
      <c r="I485" t="s">
        <v>2205</v>
      </c>
      <c r="J485" t="s">
        <v>24</v>
      </c>
      <c r="K485" t="s">
        <v>25</v>
      </c>
      <c r="L485" t="b">
        <v>1</v>
      </c>
      <c r="M485" t="s">
        <v>2206</v>
      </c>
      <c r="N485" t="str">
        <f>"305.895/93073"</f>
        <v>305.895/93073</v>
      </c>
      <c r="O485" t="s">
        <v>2207</v>
      </c>
      <c r="P485" t="b">
        <v>0</v>
      </c>
      <c r="R485" t="str">
        <f>"9780252029202"</f>
        <v>9780252029202</v>
      </c>
      <c r="S485" t="str">
        <f>"9780252050992"</f>
        <v>9780252050992</v>
      </c>
      <c r="T485">
        <v>607271231</v>
      </c>
    </row>
    <row r="486" spans="1:20" x14ac:dyDescent="0.3">
      <c r="A486">
        <v>1649738</v>
      </c>
      <c r="B486" t="s">
        <v>2208</v>
      </c>
      <c r="C486" t="s">
        <v>2209</v>
      </c>
      <c r="D486" t="s">
        <v>882</v>
      </c>
      <c r="E486" t="s">
        <v>883</v>
      </c>
      <c r="F486">
        <v>2017</v>
      </c>
      <c r="G486" t="s">
        <v>2210</v>
      </c>
      <c r="H486" t="s">
        <v>2211</v>
      </c>
      <c r="I486" t="s">
        <v>2212</v>
      </c>
      <c r="J486" t="s">
        <v>24</v>
      </c>
      <c r="K486" t="s">
        <v>25</v>
      </c>
      <c r="L486" t="b">
        <v>1</v>
      </c>
      <c r="M486" t="s">
        <v>2213</v>
      </c>
      <c r="N486" t="str">
        <f>"510.945"</f>
        <v>510.945</v>
      </c>
      <c r="O486" t="s">
        <v>2214</v>
      </c>
      <c r="P486" t="b">
        <v>0</v>
      </c>
      <c r="Q486" t="b">
        <v>0</v>
      </c>
      <c r="R486" t="str">
        <f>"9780802039507"</f>
        <v>9780802039507</v>
      </c>
      <c r="S486" t="str">
        <f>"9781487513306"</f>
        <v>9781487513306</v>
      </c>
      <c r="T486">
        <v>1014329124</v>
      </c>
    </row>
    <row r="487" spans="1:20" x14ac:dyDescent="0.3">
      <c r="A487">
        <v>1640414</v>
      </c>
      <c r="B487" t="s">
        <v>2215</v>
      </c>
      <c r="C487" t="s">
        <v>2216</v>
      </c>
      <c r="D487" t="s">
        <v>2217</v>
      </c>
      <c r="E487" t="s">
        <v>2217</v>
      </c>
      <c r="F487">
        <v>2014</v>
      </c>
      <c r="G487" t="s">
        <v>2218</v>
      </c>
      <c r="J487" t="s">
        <v>24</v>
      </c>
      <c r="K487" t="s">
        <v>25</v>
      </c>
      <c r="L487" t="b">
        <v>1</v>
      </c>
      <c r="M487" t="s">
        <v>2219</v>
      </c>
      <c r="O487" t="s">
        <v>2220</v>
      </c>
      <c r="P487" t="b">
        <v>0</v>
      </c>
      <c r="R487" t="str">
        <f>"9781614994312"</f>
        <v>9781614994312</v>
      </c>
      <c r="S487" t="str">
        <f>"9781614994329"</f>
        <v>9781614994329</v>
      </c>
    </row>
    <row r="488" spans="1:20" x14ac:dyDescent="0.3">
      <c r="A488">
        <v>1630893</v>
      </c>
      <c r="B488" t="s">
        <v>2221</v>
      </c>
      <c r="C488" t="s">
        <v>2222</v>
      </c>
      <c r="D488" t="s">
        <v>2223</v>
      </c>
      <c r="E488" t="s">
        <v>2223</v>
      </c>
      <c r="F488">
        <v>2017</v>
      </c>
      <c r="G488" t="s">
        <v>114</v>
      </c>
      <c r="H488" t="s">
        <v>2224</v>
      </c>
      <c r="I488" t="s">
        <v>2225</v>
      </c>
      <c r="J488" t="s">
        <v>24</v>
      </c>
      <c r="K488" t="s">
        <v>269</v>
      </c>
      <c r="L488" t="b">
        <v>1</v>
      </c>
      <c r="M488" t="s">
        <v>2226</v>
      </c>
      <c r="N488" t="str">
        <f>"930.1092;B"</f>
        <v>930.1092;B</v>
      </c>
      <c r="O488" t="s">
        <v>1276</v>
      </c>
      <c r="P488" t="b">
        <v>0</v>
      </c>
      <c r="Q488" t="b">
        <v>0</v>
      </c>
      <c r="R488" t="str">
        <f>"9781607815181"</f>
        <v>9781607815181</v>
      </c>
      <c r="S488" t="str">
        <f>"9781607815198"</f>
        <v>9781607815198</v>
      </c>
      <c r="T488">
        <v>1012363967</v>
      </c>
    </row>
    <row r="489" spans="1:20" x14ac:dyDescent="0.3">
      <c r="A489">
        <v>1630889</v>
      </c>
      <c r="B489" t="s">
        <v>2227</v>
      </c>
      <c r="D489" t="s">
        <v>2223</v>
      </c>
      <c r="E489" t="s">
        <v>2223</v>
      </c>
      <c r="F489">
        <v>2017</v>
      </c>
      <c r="G489" t="s">
        <v>114</v>
      </c>
      <c r="H489" t="s">
        <v>2228</v>
      </c>
      <c r="I489" t="s">
        <v>2229</v>
      </c>
      <c r="J489" t="s">
        <v>24</v>
      </c>
      <c r="K489" t="s">
        <v>269</v>
      </c>
      <c r="L489" t="b">
        <v>1</v>
      </c>
      <c r="M489" t="s">
        <v>2230</v>
      </c>
      <c r="N489" t="str">
        <f>"305.5/692"</f>
        <v>305.5/692</v>
      </c>
      <c r="P489" t="b">
        <v>0</v>
      </c>
      <c r="Q489" t="b">
        <v>0</v>
      </c>
      <c r="R489" t="str">
        <f>"9781607815976"</f>
        <v>9781607815976</v>
      </c>
      <c r="S489" t="str">
        <f>"9781607815983"</f>
        <v>9781607815983</v>
      </c>
      <c r="T489">
        <v>988028116</v>
      </c>
    </row>
    <row r="490" spans="1:20" x14ac:dyDescent="0.3">
      <c r="A490">
        <v>1630764</v>
      </c>
      <c r="B490" t="s">
        <v>2231</v>
      </c>
      <c r="C490" t="s">
        <v>2232</v>
      </c>
      <c r="D490" t="s">
        <v>2223</v>
      </c>
      <c r="E490" t="s">
        <v>2223</v>
      </c>
      <c r="F490">
        <v>2017</v>
      </c>
      <c r="G490" t="s">
        <v>114</v>
      </c>
      <c r="H490" t="s">
        <v>2233</v>
      </c>
      <c r="I490" t="s">
        <v>2234</v>
      </c>
      <c r="J490" t="s">
        <v>24</v>
      </c>
      <c r="K490" t="s">
        <v>269</v>
      </c>
      <c r="L490" t="b">
        <v>1</v>
      </c>
      <c r="M490" t="s">
        <v>2235</v>
      </c>
      <c r="N490" t="str">
        <f>"332.1/1092"</f>
        <v>332.1/1092</v>
      </c>
      <c r="P490" t="b">
        <v>0</v>
      </c>
      <c r="Q490" t="b">
        <v>0</v>
      </c>
      <c r="R490" t="str">
        <f>"9781607815556"</f>
        <v>9781607815556</v>
      </c>
      <c r="S490" t="str">
        <f>"9781607815563"</f>
        <v>9781607815563</v>
      </c>
      <c r="T490">
        <v>1011518276</v>
      </c>
    </row>
    <row r="491" spans="1:20" x14ac:dyDescent="0.3">
      <c r="A491">
        <v>1629058</v>
      </c>
      <c r="B491" t="s">
        <v>2236</v>
      </c>
      <c r="C491" t="s">
        <v>2237</v>
      </c>
      <c r="D491" t="s">
        <v>2223</v>
      </c>
      <c r="E491" t="s">
        <v>2223</v>
      </c>
      <c r="F491">
        <v>2017</v>
      </c>
      <c r="G491" t="s">
        <v>114</v>
      </c>
      <c r="H491" t="s">
        <v>2238</v>
      </c>
      <c r="I491" t="s">
        <v>2239</v>
      </c>
      <c r="J491" t="s">
        <v>24</v>
      </c>
      <c r="K491" t="s">
        <v>269</v>
      </c>
      <c r="L491" t="b">
        <v>1</v>
      </c>
      <c r="M491" t="s">
        <v>2240</v>
      </c>
      <c r="N491" t="str">
        <f>"001.2082"</f>
        <v>001.2082</v>
      </c>
      <c r="P491" t="b">
        <v>0</v>
      </c>
      <c r="R491" t="str">
        <f>"9781607815358"</f>
        <v>9781607815358</v>
      </c>
      <c r="S491" t="str">
        <f>"9781607815365"</f>
        <v>9781607815365</v>
      </c>
      <c r="T491">
        <v>1011094593</v>
      </c>
    </row>
    <row r="492" spans="1:20" x14ac:dyDescent="0.3">
      <c r="A492">
        <v>1629055</v>
      </c>
      <c r="B492" t="s">
        <v>2241</v>
      </c>
      <c r="C492" t="s">
        <v>279</v>
      </c>
      <c r="D492" t="s">
        <v>2223</v>
      </c>
      <c r="E492" t="s">
        <v>2223</v>
      </c>
      <c r="F492">
        <v>2017</v>
      </c>
      <c r="G492" t="s">
        <v>114</v>
      </c>
      <c r="H492" t="s">
        <v>2242</v>
      </c>
      <c r="I492" t="s">
        <v>2243</v>
      </c>
      <c r="J492" t="s">
        <v>24</v>
      </c>
      <c r="K492" t="s">
        <v>269</v>
      </c>
      <c r="L492" t="b">
        <v>1</v>
      </c>
      <c r="M492" t="s">
        <v>2244</v>
      </c>
      <c r="N492" t="str">
        <f>"616.8521083"</f>
        <v>616.8521083</v>
      </c>
      <c r="P492" t="b">
        <v>0</v>
      </c>
      <c r="Q492" t="b">
        <v>0</v>
      </c>
      <c r="R492" t="str">
        <f>"9781607815372"</f>
        <v>9781607815372</v>
      </c>
      <c r="S492" t="str">
        <f>"9781607815389"</f>
        <v>9781607815389</v>
      </c>
      <c r="T492">
        <v>1009062106</v>
      </c>
    </row>
    <row r="493" spans="1:20" x14ac:dyDescent="0.3">
      <c r="A493">
        <v>1624618</v>
      </c>
      <c r="B493" t="s">
        <v>2245</v>
      </c>
      <c r="D493" t="s">
        <v>45</v>
      </c>
      <c r="E493" t="s">
        <v>45</v>
      </c>
      <c r="F493">
        <v>2016</v>
      </c>
      <c r="G493" t="s">
        <v>2246</v>
      </c>
      <c r="J493" t="s">
        <v>325</v>
      </c>
      <c r="K493" t="s">
        <v>25</v>
      </c>
      <c r="L493" t="b">
        <v>1</v>
      </c>
      <c r="M493" t="s">
        <v>2247</v>
      </c>
      <c r="O493" t="s">
        <v>327</v>
      </c>
      <c r="P493" t="b">
        <v>0</v>
      </c>
      <c r="R493" t="str">
        <f>"9783110297492"</f>
        <v>9783110297492</v>
      </c>
      <c r="S493" t="str">
        <f>"9783110299397"</f>
        <v>9783110299397</v>
      </c>
    </row>
    <row r="494" spans="1:20" x14ac:dyDescent="0.3">
      <c r="A494">
        <v>1624575</v>
      </c>
      <c r="B494" t="s">
        <v>2248</v>
      </c>
      <c r="D494" t="s">
        <v>45</v>
      </c>
      <c r="E494" t="s">
        <v>45</v>
      </c>
      <c r="F494">
        <v>2016</v>
      </c>
      <c r="G494" t="s">
        <v>2249</v>
      </c>
      <c r="J494" t="s">
        <v>2250</v>
      </c>
      <c r="K494" t="s">
        <v>25</v>
      </c>
      <c r="L494" t="b">
        <v>1</v>
      </c>
      <c r="M494" t="s">
        <v>2251</v>
      </c>
      <c r="O494" t="s">
        <v>327</v>
      </c>
      <c r="P494" t="b">
        <v>0</v>
      </c>
      <c r="R494" t="str">
        <f>"9783110297638"</f>
        <v>9783110297638</v>
      </c>
      <c r="S494" t="str">
        <f>"9783110299458"</f>
        <v>9783110299458</v>
      </c>
    </row>
    <row r="495" spans="1:20" x14ac:dyDescent="0.3">
      <c r="A495">
        <v>1620117</v>
      </c>
      <c r="B495" t="s">
        <v>2252</v>
      </c>
      <c r="C495" t="s">
        <v>2253</v>
      </c>
      <c r="D495" t="s">
        <v>882</v>
      </c>
      <c r="E495" t="s">
        <v>883</v>
      </c>
      <c r="F495">
        <v>2017</v>
      </c>
      <c r="G495" t="s">
        <v>2254</v>
      </c>
      <c r="H495" t="s">
        <v>2255</v>
      </c>
      <c r="I495" t="s">
        <v>2256</v>
      </c>
      <c r="J495" t="s">
        <v>24</v>
      </c>
      <c r="K495" t="s">
        <v>25</v>
      </c>
      <c r="L495" t="b">
        <v>1</v>
      </c>
      <c r="M495" t="s">
        <v>2257</v>
      </c>
      <c r="N495" t="str">
        <f>"364.10609458"</f>
        <v>364.10609458</v>
      </c>
      <c r="O495" t="s">
        <v>2214</v>
      </c>
      <c r="P495" t="b">
        <v>0</v>
      </c>
      <c r="Q495" t="b">
        <v>0</v>
      </c>
      <c r="R495" t="str">
        <f>"9781487521776"</f>
        <v>9781487521776</v>
      </c>
      <c r="S495" t="str">
        <f>"9781442622777"</f>
        <v>9781442622777</v>
      </c>
      <c r="T495">
        <v>1007521696</v>
      </c>
    </row>
    <row r="496" spans="1:20" x14ac:dyDescent="0.3">
      <c r="A496">
        <v>1615660</v>
      </c>
      <c r="B496" t="s">
        <v>2258</v>
      </c>
      <c r="C496" t="s">
        <v>2259</v>
      </c>
      <c r="D496" t="s">
        <v>2260</v>
      </c>
      <c r="E496" t="s">
        <v>2260</v>
      </c>
      <c r="F496">
        <v>2017</v>
      </c>
      <c r="G496" t="s">
        <v>721</v>
      </c>
      <c r="H496" t="s">
        <v>2261</v>
      </c>
      <c r="I496" t="s">
        <v>2262</v>
      </c>
      <c r="J496" t="s">
        <v>24</v>
      </c>
      <c r="K496" t="s">
        <v>269</v>
      </c>
      <c r="L496" t="b">
        <v>1</v>
      </c>
      <c r="M496" t="s">
        <v>2263</v>
      </c>
      <c r="N496" t="str">
        <f>"306.7601"</f>
        <v>306.7601</v>
      </c>
      <c r="O496" t="s">
        <v>2264</v>
      </c>
      <c r="P496" t="b">
        <v>0</v>
      </c>
      <c r="R496" t="str">
        <f>"9780295742571"</f>
        <v>9780295742571</v>
      </c>
      <c r="S496" t="str">
        <f>"9780295742595"</f>
        <v>9780295742595</v>
      </c>
      <c r="T496">
        <v>1006381013</v>
      </c>
    </row>
    <row r="497" spans="1:20" x14ac:dyDescent="0.3">
      <c r="A497">
        <v>1614900</v>
      </c>
      <c r="B497" t="s">
        <v>2265</v>
      </c>
      <c r="D497" t="s">
        <v>45</v>
      </c>
      <c r="E497" t="s">
        <v>45</v>
      </c>
      <c r="F497">
        <v>2016</v>
      </c>
      <c r="G497" t="s">
        <v>2266</v>
      </c>
      <c r="J497" t="s">
        <v>24</v>
      </c>
      <c r="K497" t="s">
        <v>25</v>
      </c>
      <c r="L497" t="b">
        <v>1</v>
      </c>
      <c r="M497" t="s">
        <v>2267</v>
      </c>
      <c r="P497" t="b">
        <v>0</v>
      </c>
      <c r="R497" t="str">
        <f>"9783110450071"</f>
        <v>9783110450071</v>
      </c>
      <c r="S497" t="str">
        <f>"9783110450101"</f>
        <v>9783110450101</v>
      </c>
    </row>
    <row r="498" spans="1:20" x14ac:dyDescent="0.3">
      <c r="A498">
        <v>1613419</v>
      </c>
      <c r="B498" t="s">
        <v>2268</v>
      </c>
      <c r="D498" t="s">
        <v>882</v>
      </c>
      <c r="E498" t="s">
        <v>883</v>
      </c>
      <c r="F498">
        <v>1968</v>
      </c>
      <c r="G498" t="s">
        <v>1391</v>
      </c>
      <c r="H498" t="s">
        <v>2269</v>
      </c>
      <c r="I498" t="s">
        <v>2270</v>
      </c>
      <c r="J498" t="s">
        <v>24</v>
      </c>
      <c r="K498" t="s">
        <v>25</v>
      </c>
      <c r="L498" t="b">
        <v>1</v>
      </c>
      <c r="M498" t="s">
        <v>2271</v>
      </c>
      <c r="N498" t="str">
        <f>"338.4/7/6760971"</f>
        <v>338.4/7/6760971</v>
      </c>
      <c r="O498" t="s">
        <v>2272</v>
      </c>
      <c r="P498" t="b">
        <v>0</v>
      </c>
      <c r="Q498" t="b">
        <v>0</v>
      </c>
      <c r="R498" t="str">
        <f>"9780802032102"</f>
        <v>9780802032102</v>
      </c>
      <c r="S498" t="str">
        <f>"9781487589875"</f>
        <v>9781487589875</v>
      </c>
      <c r="T498">
        <v>691906620</v>
      </c>
    </row>
    <row r="499" spans="1:20" x14ac:dyDescent="0.3">
      <c r="A499">
        <v>1613411</v>
      </c>
      <c r="B499" t="s">
        <v>2273</v>
      </c>
      <c r="C499" t="s">
        <v>2274</v>
      </c>
      <c r="D499" t="s">
        <v>882</v>
      </c>
      <c r="E499" t="s">
        <v>883</v>
      </c>
      <c r="F499">
        <v>1982</v>
      </c>
      <c r="G499" t="s">
        <v>149</v>
      </c>
      <c r="H499" t="s">
        <v>2275</v>
      </c>
      <c r="I499" t="s">
        <v>2276</v>
      </c>
      <c r="J499" t="s">
        <v>24</v>
      </c>
      <c r="K499" t="s">
        <v>25</v>
      </c>
      <c r="L499" t="b">
        <v>1</v>
      </c>
      <c r="M499" t="s">
        <v>2277</v>
      </c>
      <c r="N499" t="str">
        <f>"821/.7"</f>
        <v>821/.7</v>
      </c>
      <c r="P499" t="b">
        <v>0</v>
      </c>
      <c r="Q499" t="b">
        <v>0</v>
      </c>
      <c r="R499" t="str">
        <f>"9781487592066"</f>
        <v>9781487592066</v>
      </c>
      <c r="S499" t="str">
        <f>"9781487590567"</f>
        <v>9781487590567</v>
      </c>
      <c r="T499">
        <v>1005842996</v>
      </c>
    </row>
    <row r="500" spans="1:20" x14ac:dyDescent="0.3">
      <c r="A500">
        <v>1613379</v>
      </c>
      <c r="B500" t="s">
        <v>2278</v>
      </c>
      <c r="D500" t="s">
        <v>882</v>
      </c>
      <c r="E500" t="s">
        <v>883</v>
      </c>
      <c r="F500">
        <v>1973</v>
      </c>
      <c r="G500" t="s">
        <v>2279</v>
      </c>
      <c r="H500" t="s">
        <v>2280</v>
      </c>
      <c r="J500" t="s">
        <v>24</v>
      </c>
      <c r="K500" t="s">
        <v>25</v>
      </c>
      <c r="L500" t="b">
        <v>1</v>
      </c>
      <c r="M500" t="s">
        <v>2281</v>
      </c>
      <c r="N500" t="str">
        <f>"812/.3"</f>
        <v>812/.3</v>
      </c>
      <c r="O500" t="s">
        <v>2282</v>
      </c>
      <c r="P500" t="b">
        <v>1</v>
      </c>
      <c r="Q500" t="b">
        <v>0</v>
      </c>
      <c r="R500" t="str">
        <f>"9781487591564"</f>
        <v>9781487591564</v>
      </c>
      <c r="S500" t="str">
        <f>"9781487589943"</f>
        <v>9781487589943</v>
      </c>
      <c r="T500">
        <v>768308411</v>
      </c>
    </row>
    <row r="501" spans="1:20" x14ac:dyDescent="0.3">
      <c r="A501">
        <v>1613378</v>
      </c>
      <c r="B501" t="s">
        <v>2283</v>
      </c>
      <c r="C501" t="s">
        <v>2284</v>
      </c>
      <c r="D501" t="s">
        <v>882</v>
      </c>
      <c r="E501" t="s">
        <v>883</v>
      </c>
      <c r="F501">
        <v>1981</v>
      </c>
      <c r="G501" t="s">
        <v>2285</v>
      </c>
      <c r="H501" t="s">
        <v>2286</v>
      </c>
      <c r="I501" t="s">
        <v>2287</v>
      </c>
      <c r="J501" t="s">
        <v>24</v>
      </c>
      <c r="K501" t="s">
        <v>25</v>
      </c>
      <c r="L501" t="b">
        <v>1</v>
      </c>
      <c r="M501" t="s">
        <v>2288</v>
      </c>
      <c r="N501" t="str">
        <f>"362.7/95/0924;B"</f>
        <v>362.7/95/0924;B</v>
      </c>
      <c r="P501" t="b">
        <v>0</v>
      </c>
      <c r="Q501" t="b">
        <v>0</v>
      </c>
      <c r="R501" t="str">
        <f>"9781487592134"</f>
        <v>9781487592134</v>
      </c>
      <c r="S501" t="str">
        <f>"9781487589011"</f>
        <v>9781487589011</v>
      </c>
      <c r="T501">
        <v>563180755</v>
      </c>
    </row>
    <row r="502" spans="1:20" x14ac:dyDescent="0.3">
      <c r="A502">
        <v>1613375</v>
      </c>
      <c r="B502" t="s">
        <v>2289</v>
      </c>
      <c r="C502" t="s">
        <v>2290</v>
      </c>
      <c r="D502" t="s">
        <v>882</v>
      </c>
      <c r="E502" t="s">
        <v>883</v>
      </c>
      <c r="F502">
        <v>1973</v>
      </c>
      <c r="G502" t="s">
        <v>2291</v>
      </c>
      <c r="H502" t="s">
        <v>2292</v>
      </c>
      <c r="I502" t="s">
        <v>2293</v>
      </c>
      <c r="J502" t="s">
        <v>24</v>
      </c>
      <c r="K502" t="s">
        <v>25</v>
      </c>
      <c r="L502" t="b">
        <v>1</v>
      </c>
      <c r="M502" t="s">
        <v>2294</v>
      </c>
      <c r="N502" t="str">
        <f>"819.32"</f>
        <v>819.32</v>
      </c>
      <c r="O502" t="s">
        <v>2282</v>
      </c>
      <c r="P502" t="b">
        <v>1</v>
      </c>
      <c r="Q502" t="b">
        <v>0</v>
      </c>
      <c r="R502" t="str">
        <f>"9781487591649"</f>
        <v>9781487591649</v>
      </c>
      <c r="S502" t="str">
        <f>"9781487588908"</f>
        <v>9781487588908</v>
      </c>
      <c r="T502">
        <v>988213222</v>
      </c>
    </row>
    <row r="503" spans="1:20" x14ac:dyDescent="0.3">
      <c r="A503">
        <v>1613354</v>
      </c>
      <c r="B503" t="s">
        <v>2295</v>
      </c>
      <c r="C503" t="s">
        <v>2296</v>
      </c>
      <c r="D503" t="s">
        <v>882</v>
      </c>
      <c r="E503" t="s">
        <v>883</v>
      </c>
      <c r="F503">
        <v>1965</v>
      </c>
      <c r="G503" t="s">
        <v>145</v>
      </c>
      <c r="H503" t="s">
        <v>2297</v>
      </c>
      <c r="J503" t="s">
        <v>24</v>
      </c>
      <c r="K503" t="s">
        <v>25</v>
      </c>
      <c r="L503" t="b">
        <v>1</v>
      </c>
      <c r="M503" t="s">
        <v>2298</v>
      </c>
      <c r="N503" t="str">
        <f>"828.809"</f>
        <v>828.809</v>
      </c>
      <c r="O503" t="s">
        <v>2299</v>
      </c>
      <c r="P503" t="b">
        <v>0</v>
      </c>
      <c r="Q503" t="b">
        <v>0</v>
      </c>
      <c r="R503" t="str">
        <f>"9781487592196"</f>
        <v>9781487592196</v>
      </c>
      <c r="S503" t="str">
        <f>"9781487589110"</f>
        <v>9781487589110</v>
      </c>
      <c r="T503">
        <v>562121029</v>
      </c>
    </row>
    <row r="504" spans="1:20" x14ac:dyDescent="0.3">
      <c r="A504">
        <v>1613332</v>
      </c>
      <c r="B504" t="s">
        <v>2300</v>
      </c>
      <c r="C504" t="s">
        <v>2301</v>
      </c>
      <c r="D504" t="s">
        <v>882</v>
      </c>
      <c r="E504" t="s">
        <v>883</v>
      </c>
      <c r="F504">
        <v>1952</v>
      </c>
      <c r="G504" t="s">
        <v>149</v>
      </c>
      <c r="H504" t="s">
        <v>2302</v>
      </c>
      <c r="I504" t="s">
        <v>2303</v>
      </c>
      <c r="J504" t="s">
        <v>24</v>
      </c>
      <c r="K504" t="s">
        <v>25</v>
      </c>
      <c r="L504" t="b">
        <v>1</v>
      </c>
      <c r="M504" t="s">
        <v>2304</v>
      </c>
      <c r="N504" t="str">
        <f>"821/.4"</f>
        <v>821/.4</v>
      </c>
      <c r="P504" t="b">
        <v>0</v>
      </c>
      <c r="Q504" t="b">
        <v>0</v>
      </c>
      <c r="R504" t="str">
        <f>"9781487592363"</f>
        <v>9781487592363</v>
      </c>
      <c r="S504" t="str">
        <f>"9781487589301"</f>
        <v>9781487589301</v>
      </c>
      <c r="T504">
        <v>568629683</v>
      </c>
    </row>
    <row r="505" spans="1:20" x14ac:dyDescent="0.3">
      <c r="A505">
        <v>1613331</v>
      </c>
      <c r="B505" t="s">
        <v>2305</v>
      </c>
      <c r="C505" t="s">
        <v>2306</v>
      </c>
      <c r="D505" t="s">
        <v>882</v>
      </c>
      <c r="E505" t="s">
        <v>883</v>
      </c>
      <c r="F505">
        <v>1973</v>
      </c>
      <c r="G505" t="s">
        <v>149</v>
      </c>
      <c r="H505" t="s">
        <v>2307</v>
      </c>
      <c r="I505" t="s">
        <v>2308</v>
      </c>
      <c r="J505" t="s">
        <v>24</v>
      </c>
      <c r="K505" t="s">
        <v>25</v>
      </c>
      <c r="L505" t="b">
        <v>1</v>
      </c>
      <c r="M505" t="s">
        <v>2304</v>
      </c>
      <c r="N505" t="str">
        <f>"821/.4"</f>
        <v>821/.4</v>
      </c>
      <c r="P505" t="b">
        <v>0</v>
      </c>
      <c r="Q505" t="b">
        <v>0</v>
      </c>
      <c r="R505" t="str">
        <f>"9781487592349"</f>
        <v>9781487592349</v>
      </c>
      <c r="S505" t="str">
        <f>"9781487589288"</f>
        <v>9781487589288</v>
      </c>
      <c r="T505">
        <v>570661169</v>
      </c>
    </row>
    <row r="506" spans="1:20" x14ac:dyDescent="0.3">
      <c r="A506">
        <v>1613328</v>
      </c>
      <c r="B506" t="s">
        <v>2309</v>
      </c>
      <c r="C506" t="s">
        <v>2310</v>
      </c>
      <c r="D506" t="s">
        <v>882</v>
      </c>
      <c r="E506" t="s">
        <v>883</v>
      </c>
      <c r="F506">
        <v>1973</v>
      </c>
      <c r="G506" t="s">
        <v>2279</v>
      </c>
      <c r="H506" t="s">
        <v>2311</v>
      </c>
      <c r="I506" t="s">
        <v>2312</v>
      </c>
      <c r="J506" t="s">
        <v>24</v>
      </c>
      <c r="K506" t="s">
        <v>25</v>
      </c>
      <c r="L506" t="b">
        <v>1</v>
      </c>
      <c r="M506" t="s">
        <v>2281</v>
      </c>
      <c r="N506" t="str">
        <f>"812/.3"</f>
        <v>812/.3</v>
      </c>
      <c r="O506" t="s">
        <v>2282</v>
      </c>
      <c r="P506" t="b">
        <v>1</v>
      </c>
      <c r="Q506" t="b">
        <v>0</v>
      </c>
      <c r="R506" t="str">
        <f>"9781487591557"</f>
        <v>9781487591557</v>
      </c>
      <c r="S506" t="str">
        <f>"9781487589936"</f>
        <v>9781487589936</v>
      </c>
      <c r="T506">
        <v>881562511</v>
      </c>
    </row>
    <row r="507" spans="1:20" x14ac:dyDescent="0.3">
      <c r="A507">
        <v>1613310</v>
      </c>
      <c r="B507" t="s">
        <v>2313</v>
      </c>
      <c r="D507" t="s">
        <v>882</v>
      </c>
      <c r="E507" t="s">
        <v>883</v>
      </c>
      <c r="F507">
        <v>1958</v>
      </c>
      <c r="G507" t="s">
        <v>911</v>
      </c>
      <c r="H507" t="s">
        <v>2314</v>
      </c>
      <c r="I507" t="s">
        <v>2315</v>
      </c>
      <c r="J507" t="s">
        <v>24</v>
      </c>
      <c r="K507" t="s">
        <v>25</v>
      </c>
      <c r="L507" t="b">
        <v>1</v>
      </c>
      <c r="M507" t="s">
        <v>2316</v>
      </c>
      <c r="N507" t="str">
        <f>"361.001"</f>
        <v>361.001</v>
      </c>
      <c r="P507" t="b">
        <v>0</v>
      </c>
      <c r="Q507" t="b">
        <v>0</v>
      </c>
      <c r="R507" t="str">
        <f>"9781487591533"</f>
        <v>9781487591533</v>
      </c>
      <c r="S507" t="str">
        <f>"9781487589912"</f>
        <v>9781487589912</v>
      </c>
      <c r="T507">
        <v>572078411</v>
      </c>
    </row>
    <row r="508" spans="1:20" x14ac:dyDescent="0.3">
      <c r="A508">
        <v>1613299</v>
      </c>
      <c r="B508" t="s">
        <v>2317</v>
      </c>
      <c r="D508" t="s">
        <v>882</v>
      </c>
      <c r="E508" t="s">
        <v>883</v>
      </c>
      <c r="F508">
        <v>1969</v>
      </c>
      <c r="G508" t="s">
        <v>2318</v>
      </c>
      <c r="H508" t="s">
        <v>2319</v>
      </c>
      <c r="J508" t="s">
        <v>24</v>
      </c>
      <c r="K508" t="s">
        <v>25</v>
      </c>
      <c r="L508" t="b">
        <v>1</v>
      </c>
      <c r="M508" t="s">
        <v>2320</v>
      </c>
      <c r="N508" t="str">
        <f>"016.823/6"</f>
        <v>016.823/6</v>
      </c>
      <c r="P508" t="b">
        <v>0</v>
      </c>
      <c r="Q508" t="b">
        <v>0</v>
      </c>
      <c r="R508" t="str">
        <f>"9781487592431"</f>
        <v>9781487592431</v>
      </c>
      <c r="S508" t="str">
        <f>"9781487589424"</f>
        <v>9781487589424</v>
      </c>
      <c r="T508">
        <v>551430037</v>
      </c>
    </row>
    <row r="509" spans="1:20" x14ac:dyDescent="0.3">
      <c r="A509">
        <v>1613276</v>
      </c>
      <c r="B509" t="s">
        <v>2321</v>
      </c>
      <c r="C509" t="s">
        <v>2322</v>
      </c>
      <c r="D509" t="s">
        <v>882</v>
      </c>
      <c r="E509" t="s">
        <v>883</v>
      </c>
      <c r="F509">
        <v>1973</v>
      </c>
      <c r="G509" t="s">
        <v>1325</v>
      </c>
      <c r="H509" t="s">
        <v>2323</v>
      </c>
      <c r="I509" t="s">
        <v>2324</v>
      </c>
      <c r="J509" t="s">
        <v>24</v>
      </c>
      <c r="K509" t="s">
        <v>25</v>
      </c>
      <c r="L509" t="b">
        <v>1</v>
      </c>
      <c r="M509" t="s">
        <v>2325</v>
      </c>
      <c r="N509" t="str">
        <f>"818.3"</f>
        <v>818.3</v>
      </c>
      <c r="P509" t="b">
        <v>0</v>
      </c>
      <c r="Q509" t="b">
        <v>0</v>
      </c>
      <c r="R509" t="str">
        <f>"9781487591304"</f>
        <v>9781487591304</v>
      </c>
      <c r="S509" t="str">
        <f>"9781442652385"</f>
        <v>9781442652385</v>
      </c>
      <c r="T509">
        <v>1005842963</v>
      </c>
    </row>
    <row r="510" spans="1:20" x14ac:dyDescent="0.3">
      <c r="A510">
        <v>1613271</v>
      </c>
      <c r="B510" t="s">
        <v>2326</v>
      </c>
      <c r="D510" t="s">
        <v>882</v>
      </c>
      <c r="E510" t="s">
        <v>883</v>
      </c>
      <c r="F510">
        <v>1981</v>
      </c>
      <c r="G510" t="s">
        <v>1778</v>
      </c>
      <c r="H510" t="s">
        <v>2327</v>
      </c>
      <c r="I510" t="s">
        <v>2328</v>
      </c>
      <c r="J510" t="s">
        <v>24</v>
      </c>
      <c r="K510" t="s">
        <v>25</v>
      </c>
      <c r="L510" t="b">
        <v>1</v>
      </c>
      <c r="M510" t="s">
        <v>2329</v>
      </c>
      <c r="N510" t="str">
        <f>"821/.8"</f>
        <v>821/.8</v>
      </c>
      <c r="P510" t="b">
        <v>0</v>
      </c>
      <c r="Q510" t="b">
        <v>0</v>
      </c>
      <c r="R510" t="str">
        <f>"9781487591250"</f>
        <v>9781487591250</v>
      </c>
      <c r="S510" t="str">
        <f>"9781487588762"</f>
        <v>9781487588762</v>
      </c>
      <c r="T510">
        <v>1005843430</v>
      </c>
    </row>
    <row r="511" spans="1:20" x14ac:dyDescent="0.3">
      <c r="A511">
        <v>1613265</v>
      </c>
      <c r="B511" t="s">
        <v>2330</v>
      </c>
      <c r="D511" t="s">
        <v>882</v>
      </c>
      <c r="E511" t="s">
        <v>883</v>
      </c>
      <c r="F511">
        <v>1972</v>
      </c>
      <c r="G511" t="s">
        <v>1778</v>
      </c>
      <c r="H511" t="s">
        <v>2331</v>
      </c>
      <c r="I511" t="s">
        <v>2332</v>
      </c>
      <c r="J511" t="s">
        <v>24</v>
      </c>
      <c r="K511" t="s">
        <v>25</v>
      </c>
      <c r="L511" t="b">
        <v>1</v>
      </c>
      <c r="M511" t="s">
        <v>2329</v>
      </c>
      <c r="N511" t="str">
        <f>"821/.8"</f>
        <v>821/.8</v>
      </c>
      <c r="O511" t="s">
        <v>2333</v>
      </c>
      <c r="P511" t="b">
        <v>0</v>
      </c>
      <c r="Q511" t="b">
        <v>0</v>
      </c>
      <c r="R511" t="str">
        <f>"9781487591243"</f>
        <v>9781487591243</v>
      </c>
      <c r="S511" t="str">
        <f>"9781442630048"</f>
        <v>9781442630048</v>
      </c>
      <c r="T511">
        <v>1005843563</v>
      </c>
    </row>
    <row r="512" spans="1:20" x14ac:dyDescent="0.3">
      <c r="A512">
        <v>1609907</v>
      </c>
      <c r="B512" t="s">
        <v>2334</v>
      </c>
      <c r="C512" t="s">
        <v>2335</v>
      </c>
      <c r="D512" t="s">
        <v>45</v>
      </c>
      <c r="E512" t="s">
        <v>313</v>
      </c>
      <c r="F512">
        <v>2016</v>
      </c>
      <c r="G512" t="s">
        <v>314</v>
      </c>
      <c r="J512" t="s">
        <v>24</v>
      </c>
      <c r="K512" t="s">
        <v>25</v>
      </c>
      <c r="L512" t="b">
        <v>1</v>
      </c>
      <c r="M512" t="s">
        <v>2336</v>
      </c>
      <c r="O512" t="s">
        <v>2337</v>
      </c>
      <c r="P512" t="b">
        <v>0</v>
      </c>
      <c r="R512" t="str">
        <f>"9783111052175"</f>
        <v>9783111052175</v>
      </c>
      <c r="S512" t="str">
        <f>"9783111416373"</f>
        <v>9783111416373</v>
      </c>
    </row>
    <row r="513" spans="1:20" x14ac:dyDescent="0.3">
      <c r="A513">
        <v>1609882</v>
      </c>
      <c r="B513" t="s">
        <v>2338</v>
      </c>
      <c r="D513" t="s">
        <v>45</v>
      </c>
      <c r="E513" t="s">
        <v>45</v>
      </c>
      <c r="F513">
        <v>2016</v>
      </c>
      <c r="G513" t="s">
        <v>287</v>
      </c>
      <c r="J513" t="s">
        <v>24</v>
      </c>
      <c r="K513" t="s">
        <v>25</v>
      </c>
      <c r="L513" t="b">
        <v>1</v>
      </c>
      <c r="M513" t="s">
        <v>2339</v>
      </c>
      <c r="O513" t="s">
        <v>2340</v>
      </c>
      <c r="P513" t="b">
        <v>0</v>
      </c>
      <c r="R513" t="str">
        <f>"9783110989595"</f>
        <v>9783110989595</v>
      </c>
      <c r="S513" t="str">
        <f>"9783111727967"</f>
        <v>9783111727967</v>
      </c>
    </row>
    <row r="514" spans="1:20" x14ac:dyDescent="0.3">
      <c r="A514">
        <v>1609880</v>
      </c>
      <c r="B514" t="s">
        <v>2341</v>
      </c>
      <c r="C514" t="s">
        <v>2342</v>
      </c>
      <c r="D514" t="s">
        <v>45</v>
      </c>
      <c r="E514" t="s">
        <v>330</v>
      </c>
      <c r="F514">
        <v>2016</v>
      </c>
      <c r="G514" t="s">
        <v>2343</v>
      </c>
      <c r="J514" t="s">
        <v>24</v>
      </c>
      <c r="K514" t="s">
        <v>25</v>
      </c>
      <c r="L514" t="b">
        <v>1</v>
      </c>
      <c r="M514" t="s">
        <v>2344</v>
      </c>
      <c r="O514" t="s">
        <v>2345</v>
      </c>
      <c r="P514" t="b">
        <v>0</v>
      </c>
      <c r="R514" t="str">
        <f>"9783111000978"</f>
        <v>9783111000978</v>
      </c>
      <c r="S514" t="str">
        <f>"9783111357881"</f>
        <v>9783111357881</v>
      </c>
    </row>
    <row r="515" spans="1:20" x14ac:dyDescent="0.3">
      <c r="A515">
        <v>1609871</v>
      </c>
      <c r="B515" t="s">
        <v>2346</v>
      </c>
      <c r="D515" t="s">
        <v>45</v>
      </c>
      <c r="E515" t="s">
        <v>313</v>
      </c>
      <c r="F515">
        <v>2015</v>
      </c>
      <c r="G515" t="s">
        <v>314</v>
      </c>
      <c r="J515" t="s">
        <v>24</v>
      </c>
      <c r="K515" t="s">
        <v>25</v>
      </c>
      <c r="L515" t="b">
        <v>1</v>
      </c>
      <c r="M515" t="s">
        <v>2347</v>
      </c>
      <c r="O515" t="s">
        <v>2348</v>
      </c>
      <c r="P515" t="b">
        <v>0</v>
      </c>
      <c r="R515" t="str">
        <f>"9783111137933"</f>
        <v>9783111137933</v>
      </c>
      <c r="S515" t="str">
        <f>"9783111504759"</f>
        <v>9783111504759</v>
      </c>
    </row>
    <row r="516" spans="1:20" x14ac:dyDescent="0.3">
      <c r="A516">
        <v>1609870</v>
      </c>
      <c r="B516" t="s">
        <v>2349</v>
      </c>
      <c r="C516" t="s">
        <v>2350</v>
      </c>
      <c r="D516" t="s">
        <v>45</v>
      </c>
      <c r="E516" t="s">
        <v>313</v>
      </c>
      <c r="F516">
        <v>2015</v>
      </c>
      <c r="G516" t="s">
        <v>314</v>
      </c>
      <c r="J516" t="s">
        <v>24</v>
      </c>
      <c r="K516" t="s">
        <v>25</v>
      </c>
      <c r="L516" t="b">
        <v>1</v>
      </c>
      <c r="M516" t="s">
        <v>2351</v>
      </c>
      <c r="O516" t="s">
        <v>2352</v>
      </c>
      <c r="P516" t="b">
        <v>0</v>
      </c>
      <c r="R516" t="str">
        <f>"9783111296029"</f>
        <v>9783111296029</v>
      </c>
      <c r="S516" t="str">
        <f>"9783111682785"</f>
        <v>9783111682785</v>
      </c>
    </row>
    <row r="517" spans="1:20" x14ac:dyDescent="0.3">
      <c r="A517">
        <v>1609854</v>
      </c>
      <c r="B517" t="s">
        <v>2353</v>
      </c>
      <c r="C517" t="s">
        <v>2354</v>
      </c>
      <c r="D517" t="s">
        <v>45</v>
      </c>
      <c r="E517" t="s">
        <v>45</v>
      </c>
      <c r="F517">
        <v>2016</v>
      </c>
      <c r="G517" t="s">
        <v>314</v>
      </c>
      <c r="J517" t="s">
        <v>24</v>
      </c>
      <c r="K517" t="s">
        <v>25</v>
      </c>
      <c r="L517" t="b">
        <v>1</v>
      </c>
      <c r="M517" t="s">
        <v>2355</v>
      </c>
      <c r="O517" t="s">
        <v>352</v>
      </c>
      <c r="P517" t="b">
        <v>0</v>
      </c>
      <c r="R517" t="str">
        <f>"9783484391178"</f>
        <v>9783484391178</v>
      </c>
      <c r="S517" t="str">
        <f>"9783110918809"</f>
        <v>9783110918809</v>
      </c>
    </row>
    <row r="518" spans="1:20" x14ac:dyDescent="0.3">
      <c r="A518">
        <v>1605455</v>
      </c>
      <c r="B518" t="s">
        <v>2356</v>
      </c>
      <c r="C518" t="s">
        <v>2357</v>
      </c>
      <c r="D518" t="s">
        <v>882</v>
      </c>
      <c r="E518" t="s">
        <v>883</v>
      </c>
      <c r="F518">
        <v>1957</v>
      </c>
      <c r="G518" t="s">
        <v>2025</v>
      </c>
      <c r="H518" t="s">
        <v>2358</v>
      </c>
      <c r="J518" t="s">
        <v>24</v>
      </c>
      <c r="K518" t="s">
        <v>25</v>
      </c>
      <c r="L518" t="b">
        <v>1</v>
      </c>
      <c r="M518" t="s">
        <v>2359</v>
      </c>
      <c r="N518" t="str">
        <f>"928.2"</f>
        <v>928.2</v>
      </c>
      <c r="O518" t="s">
        <v>2360</v>
      </c>
      <c r="P518" t="b">
        <v>0</v>
      </c>
      <c r="Q518" t="b">
        <v>0</v>
      </c>
      <c r="R518" t="str">
        <f>"9781487599201"</f>
        <v>9781487599201</v>
      </c>
      <c r="S518" t="str">
        <f>"9781487596095"</f>
        <v>9781487596095</v>
      </c>
      <c r="T518">
        <v>1004996181</v>
      </c>
    </row>
    <row r="519" spans="1:20" x14ac:dyDescent="0.3">
      <c r="A519">
        <v>1605378</v>
      </c>
      <c r="B519" t="s">
        <v>2361</v>
      </c>
      <c r="C519" t="s">
        <v>2362</v>
      </c>
      <c r="D519" t="s">
        <v>882</v>
      </c>
      <c r="E519" t="s">
        <v>883</v>
      </c>
      <c r="F519">
        <v>1961</v>
      </c>
      <c r="G519" t="s">
        <v>149</v>
      </c>
      <c r="H519" t="s">
        <v>2363</v>
      </c>
      <c r="I519" t="s">
        <v>2364</v>
      </c>
      <c r="J519" t="s">
        <v>24</v>
      </c>
      <c r="K519" t="s">
        <v>25</v>
      </c>
      <c r="L519" t="b">
        <v>1</v>
      </c>
      <c r="M519" t="s">
        <v>2365</v>
      </c>
      <c r="N519" t="str">
        <f>"821/.7"</f>
        <v>821/.7</v>
      </c>
      <c r="O519" t="s">
        <v>2366</v>
      </c>
      <c r="P519" t="b">
        <v>0</v>
      </c>
      <c r="Q519" t="b">
        <v>0</v>
      </c>
      <c r="R519" t="str">
        <f>"9781487598563"</f>
        <v>9781487598563</v>
      </c>
      <c r="S519" t="str">
        <f>"9781487595241"</f>
        <v>9781487595241</v>
      </c>
      <c r="T519">
        <v>1004770695</v>
      </c>
    </row>
    <row r="520" spans="1:20" x14ac:dyDescent="0.3">
      <c r="A520">
        <v>1605353</v>
      </c>
      <c r="B520" t="s">
        <v>2367</v>
      </c>
      <c r="D520" t="s">
        <v>882</v>
      </c>
      <c r="E520" t="s">
        <v>883</v>
      </c>
      <c r="F520">
        <v>1974</v>
      </c>
      <c r="G520" t="s">
        <v>2368</v>
      </c>
      <c r="H520" t="s">
        <v>2369</v>
      </c>
      <c r="I520" t="s">
        <v>2370</v>
      </c>
      <c r="J520" t="s">
        <v>24</v>
      </c>
      <c r="K520" t="s">
        <v>25</v>
      </c>
      <c r="L520" t="b">
        <v>1</v>
      </c>
      <c r="M520" t="s">
        <v>2371</v>
      </c>
      <c r="N520" t="str">
        <f>"821/.8"</f>
        <v>821/.8</v>
      </c>
      <c r="O520" t="s">
        <v>997</v>
      </c>
      <c r="P520" t="b">
        <v>0</v>
      </c>
      <c r="Q520" t="b">
        <v>0</v>
      </c>
      <c r="R520" t="str">
        <f>"9780802062291"</f>
        <v>9780802062291</v>
      </c>
      <c r="S520" t="str">
        <f>"9781442631861"</f>
        <v>9781442631861</v>
      </c>
      <c r="T520">
        <v>1004848875</v>
      </c>
    </row>
    <row r="521" spans="1:20" x14ac:dyDescent="0.3">
      <c r="A521">
        <v>1605319</v>
      </c>
      <c r="B521" t="s">
        <v>2372</v>
      </c>
      <c r="C521" t="s">
        <v>2373</v>
      </c>
      <c r="D521" t="s">
        <v>882</v>
      </c>
      <c r="E521" t="s">
        <v>883</v>
      </c>
      <c r="F521">
        <v>2017</v>
      </c>
      <c r="G521" t="s">
        <v>889</v>
      </c>
      <c r="H521" t="s">
        <v>2374</v>
      </c>
      <c r="I521" t="s">
        <v>2375</v>
      </c>
      <c r="J521" t="s">
        <v>24</v>
      </c>
      <c r="K521" t="s">
        <v>25</v>
      </c>
      <c r="L521" t="b">
        <v>1</v>
      </c>
      <c r="M521" t="s">
        <v>2376</v>
      </c>
      <c r="N521" t="str">
        <f>"362.5/92"</f>
        <v>362.5/92</v>
      </c>
      <c r="P521" t="b">
        <v>0</v>
      </c>
      <c r="Q521" t="b">
        <v>0</v>
      </c>
      <c r="R521" t="str">
        <f>"9781487522063"</f>
        <v>9781487522063</v>
      </c>
      <c r="S521" t="str">
        <f>"9781487515669"</f>
        <v>9781487515669</v>
      </c>
      <c r="T521">
        <v>1004994779</v>
      </c>
    </row>
    <row r="522" spans="1:20" x14ac:dyDescent="0.3">
      <c r="A522">
        <v>1605318</v>
      </c>
      <c r="B522" t="s">
        <v>2377</v>
      </c>
      <c r="C522" t="s">
        <v>2378</v>
      </c>
      <c r="D522" t="s">
        <v>882</v>
      </c>
      <c r="E522" t="s">
        <v>883</v>
      </c>
      <c r="F522">
        <v>2017</v>
      </c>
      <c r="G522" t="s">
        <v>145</v>
      </c>
      <c r="H522" t="s">
        <v>2379</v>
      </c>
      <c r="I522" t="s">
        <v>2380</v>
      </c>
      <c r="J522" t="s">
        <v>24</v>
      </c>
      <c r="K522" t="s">
        <v>25</v>
      </c>
      <c r="L522" t="b">
        <v>1</v>
      </c>
      <c r="M522" t="s">
        <v>2381</v>
      </c>
      <c r="N522" t="str">
        <f>"823.912"</f>
        <v>823.912</v>
      </c>
      <c r="P522" t="b">
        <v>0</v>
      </c>
      <c r="Q522" t="b">
        <v>0</v>
      </c>
      <c r="R522" t="str">
        <f>"9781487502508"</f>
        <v>9781487502508</v>
      </c>
      <c r="S522" t="str">
        <f>"9781487515478"</f>
        <v>9781487515478</v>
      </c>
      <c r="T522">
        <v>1004986703</v>
      </c>
    </row>
    <row r="523" spans="1:20" x14ac:dyDescent="0.3">
      <c r="A523">
        <v>1590566</v>
      </c>
      <c r="B523" t="s">
        <v>2382</v>
      </c>
      <c r="C523" t="s">
        <v>2383</v>
      </c>
      <c r="D523" t="s">
        <v>882</v>
      </c>
      <c r="E523" t="s">
        <v>883</v>
      </c>
      <c r="F523">
        <v>2017</v>
      </c>
      <c r="G523" t="s">
        <v>889</v>
      </c>
      <c r="H523" t="s">
        <v>2384</v>
      </c>
      <c r="I523" t="s">
        <v>2385</v>
      </c>
      <c r="J523" t="s">
        <v>24</v>
      </c>
      <c r="K523" t="s">
        <v>25</v>
      </c>
      <c r="L523" t="b">
        <v>1</v>
      </c>
      <c r="M523" t="s">
        <v>2386</v>
      </c>
      <c r="N523" t="str">
        <f>"362.18097123/38"</f>
        <v>362.18097123/38</v>
      </c>
      <c r="P523" t="b">
        <v>0</v>
      </c>
      <c r="Q523" t="b">
        <v>0</v>
      </c>
      <c r="R523" t="str">
        <f>"9781442629875"</f>
        <v>9781442629875</v>
      </c>
      <c r="S523" t="str">
        <f>"9781442629882"</f>
        <v>9781442629882</v>
      </c>
      <c r="T523">
        <v>1003287376</v>
      </c>
    </row>
    <row r="524" spans="1:20" x14ac:dyDescent="0.3">
      <c r="A524">
        <v>1589656</v>
      </c>
      <c r="B524" t="s">
        <v>2387</v>
      </c>
      <c r="D524" t="s">
        <v>2388</v>
      </c>
      <c r="E524" t="s">
        <v>2388</v>
      </c>
      <c r="F524">
        <v>2017</v>
      </c>
      <c r="G524" t="s">
        <v>249</v>
      </c>
      <c r="H524" t="s">
        <v>2389</v>
      </c>
      <c r="I524" t="s">
        <v>2390</v>
      </c>
      <c r="J524" t="s">
        <v>24</v>
      </c>
      <c r="K524" t="s">
        <v>25</v>
      </c>
      <c r="L524" t="b">
        <v>1</v>
      </c>
      <c r="M524" t="s">
        <v>2391</v>
      </c>
      <c r="N524" t="str">
        <f>"345/.0251"</f>
        <v>345/.0251</v>
      </c>
      <c r="O524" t="s">
        <v>2392</v>
      </c>
      <c r="P524" t="b">
        <v>0</v>
      </c>
      <c r="Q524" t="b">
        <v>0</v>
      </c>
      <c r="R524" t="str">
        <f>"9780299312909"</f>
        <v>9780299312909</v>
      </c>
      <c r="S524" t="str">
        <f>"9780299312930"</f>
        <v>9780299312930</v>
      </c>
      <c r="T524">
        <v>992788677</v>
      </c>
    </row>
    <row r="525" spans="1:20" x14ac:dyDescent="0.3">
      <c r="A525">
        <v>1589653</v>
      </c>
      <c r="B525" t="s">
        <v>2393</v>
      </c>
      <c r="C525" t="s">
        <v>2394</v>
      </c>
      <c r="D525" t="s">
        <v>2388</v>
      </c>
      <c r="E525" t="s">
        <v>2388</v>
      </c>
      <c r="F525">
        <v>2017</v>
      </c>
      <c r="G525" t="s">
        <v>97</v>
      </c>
      <c r="H525" t="s">
        <v>2395</v>
      </c>
      <c r="I525" t="s">
        <v>2396</v>
      </c>
      <c r="J525" t="s">
        <v>24</v>
      </c>
      <c r="K525" t="s">
        <v>25</v>
      </c>
      <c r="L525" t="b">
        <v>1</v>
      </c>
      <c r="M525" t="s">
        <v>2397</v>
      </c>
      <c r="N525" t="str">
        <f>"331.7/61365775"</f>
        <v>331.7/61365775</v>
      </c>
      <c r="O525" t="s">
        <v>2398</v>
      </c>
      <c r="P525" t="b">
        <v>0</v>
      </c>
      <c r="Q525" t="b">
        <v>0</v>
      </c>
      <c r="R525" t="str">
        <f>"9780299313500"</f>
        <v>9780299313500</v>
      </c>
      <c r="S525" t="str">
        <f>"9780299313531"</f>
        <v>9780299313531</v>
      </c>
      <c r="T525">
        <v>1004538991</v>
      </c>
    </row>
    <row r="526" spans="1:20" x14ac:dyDescent="0.3">
      <c r="A526">
        <v>1587690</v>
      </c>
      <c r="B526" t="s">
        <v>2399</v>
      </c>
      <c r="C526" t="s">
        <v>2400</v>
      </c>
      <c r="D526" t="s">
        <v>45</v>
      </c>
      <c r="E526" t="s">
        <v>45</v>
      </c>
      <c r="F526">
        <v>2016</v>
      </c>
      <c r="G526" t="s">
        <v>2401</v>
      </c>
      <c r="J526" t="s">
        <v>24</v>
      </c>
      <c r="K526" t="s">
        <v>25</v>
      </c>
      <c r="L526" t="b">
        <v>1</v>
      </c>
      <c r="M526" t="s">
        <v>2402</v>
      </c>
      <c r="P526" t="b">
        <v>0</v>
      </c>
      <c r="R526" t="str">
        <f>"9783110087826"</f>
        <v>9783110087826</v>
      </c>
      <c r="S526" t="str">
        <f>"9783110857245"</f>
        <v>9783110857245</v>
      </c>
    </row>
    <row r="527" spans="1:20" x14ac:dyDescent="0.3">
      <c r="A527">
        <v>1587684</v>
      </c>
      <c r="B527" t="s">
        <v>2403</v>
      </c>
      <c r="D527" t="s">
        <v>45</v>
      </c>
      <c r="E527" t="s">
        <v>45</v>
      </c>
      <c r="F527">
        <v>2016</v>
      </c>
      <c r="G527" t="s">
        <v>2401</v>
      </c>
      <c r="J527" t="s">
        <v>24</v>
      </c>
      <c r="K527" t="s">
        <v>25</v>
      </c>
      <c r="L527" t="b">
        <v>1</v>
      </c>
      <c r="M527" t="s">
        <v>2404</v>
      </c>
      <c r="O527" t="s">
        <v>2405</v>
      </c>
      <c r="P527" t="b">
        <v>0</v>
      </c>
      <c r="R527" t="str">
        <f>"9783110142747"</f>
        <v>9783110142747</v>
      </c>
      <c r="S527" t="str">
        <f>"9783110873504"</f>
        <v>9783110873504</v>
      </c>
    </row>
    <row r="528" spans="1:20" x14ac:dyDescent="0.3">
      <c r="A528">
        <v>1587674</v>
      </c>
      <c r="B528" t="s">
        <v>2406</v>
      </c>
      <c r="C528" t="s">
        <v>2407</v>
      </c>
      <c r="D528" t="s">
        <v>45</v>
      </c>
      <c r="E528" t="s">
        <v>313</v>
      </c>
      <c r="F528">
        <v>2016</v>
      </c>
      <c r="G528" t="s">
        <v>314</v>
      </c>
      <c r="J528" t="s">
        <v>24</v>
      </c>
      <c r="K528" t="s">
        <v>25</v>
      </c>
      <c r="L528" t="b">
        <v>1</v>
      </c>
      <c r="M528" t="s">
        <v>2408</v>
      </c>
      <c r="P528" t="b">
        <v>0</v>
      </c>
      <c r="R528" t="str">
        <f>"9783110099331"</f>
        <v>9783110099331</v>
      </c>
      <c r="S528" t="str">
        <f>"9783110868883"</f>
        <v>9783110868883</v>
      </c>
    </row>
    <row r="529" spans="1:20" x14ac:dyDescent="0.3">
      <c r="A529">
        <v>1587673</v>
      </c>
      <c r="B529" t="s">
        <v>2409</v>
      </c>
      <c r="D529" t="s">
        <v>45</v>
      </c>
      <c r="E529" t="s">
        <v>45</v>
      </c>
      <c r="F529">
        <v>2016</v>
      </c>
      <c r="G529" t="s">
        <v>346</v>
      </c>
      <c r="J529" t="s">
        <v>24</v>
      </c>
      <c r="K529" t="s">
        <v>25</v>
      </c>
      <c r="L529" t="b">
        <v>1</v>
      </c>
      <c r="M529" t="s">
        <v>2410</v>
      </c>
      <c r="O529" t="s">
        <v>2411</v>
      </c>
      <c r="P529" t="b">
        <v>0</v>
      </c>
      <c r="R529" t="str">
        <f>"9783110111330"</f>
        <v>9783110111330</v>
      </c>
      <c r="S529" t="str">
        <f>"9783110876499"</f>
        <v>9783110876499</v>
      </c>
    </row>
    <row r="530" spans="1:20" x14ac:dyDescent="0.3">
      <c r="A530">
        <v>1587659</v>
      </c>
      <c r="B530" t="s">
        <v>2412</v>
      </c>
      <c r="D530" t="s">
        <v>45</v>
      </c>
      <c r="E530" t="s">
        <v>45</v>
      </c>
      <c r="F530">
        <v>2016</v>
      </c>
      <c r="G530" t="s">
        <v>60</v>
      </c>
      <c r="J530" t="s">
        <v>24</v>
      </c>
      <c r="K530" t="s">
        <v>25</v>
      </c>
      <c r="L530" t="b">
        <v>1</v>
      </c>
      <c r="M530" t="s">
        <v>2413</v>
      </c>
      <c r="O530" t="s">
        <v>2414</v>
      </c>
      <c r="P530" t="b">
        <v>0</v>
      </c>
      <c r="R530" t="str">
        <f>"9783110125825"</f>
        <v>9783110125825</v>
      </c>
      <c r="S530" t="str">
        <f>"9783110893076"</f>
        <v>9783110893076</v>
      </c>
    </row>
    <row r="531" spans="1:20" x14ac:dyDescent="0.3">
      <c r="A531">
        <v>1587657</v>
      </c>
      <c r="B531" t="s">
        <v>2415</v>
      </c>
      <c r="D531" t="s">
        <v>45</v>
      </c>
      <c r="E531" t="s">
        <v>313</v>
      </c>
      <c r="F531">
        <v>2016</v>
      </c>
      <c r="G531" t="s">
        <v>2343</v>
      </c>
      <c r="J531" t="s">
        <v>24</v>
      </c>
      <c r="K531" t="s">
        <v>25</v>
      </c>
      <c r="L531" t="b">
        <v>1</v>
      </c>
      <c r="M531" t="s">
        <v>2416</v>
      </c>
      <c r="P531" t="b">
        <v>0</v>
      </c>
      <c r="R531" t="str">
        <f>"9783110133103"</f>
        <v>9783110133103</v>
      </c>
      <c r="S531" t="str">
        <f>"9783110882308"</f>
        <v>9783110882308</v>
      </c>
    </row>
    <row r="532" spans="1:20" x14ac:dyDescent="0.3">
      <c r="A532">
        <v>1587656</v>
      </c>
      <c r="B532" t="s">
        <v>2417</v>
      </c>
      <c r="D532" t="s">
        <v>45</v>
      </c>
      <c r="E532" t="s">
        <v>313</v>
      </c>
      <c r="F532">
        <v>2016</v>
      </c>
      <c r="G532" t="s">
        <v>314</v>
      </c>
      <c r="J532" t="s">
        <v>24</v>
      </c>
      <c r="K532" t="s">
        <v>25</v>
      </c>
      <c r="L532" t="b">
        <v>1</v>
      </c>
      <c r="M532" t="s">
        <v>2418</v>
      </c>
      <c r="O532" t="s">
        <v>2419</v>
      </c>
      <c r="P532" t="b">
        <v>0</v>
      </c>
      <c r="R532" t="str">
        <f>"9783110130423"</f>
        <v>9783110130423</v>
      </c>
      <c r="S532" t="str">
        <f>"9783110884869"</f>
        <v>9783110884869</v>
      </c>
    </row>
    <row r="533" spans="1:20" x14ac:dyDescent="0.3">
      <c r="A533">
        <v>1587655</v>
      </c>
      <c r="B533" t="s">
        <v>2420</v>
      </c>
      <c r="C533" t="s">
        <v>2421</v>
      </c>
      <c r="D533" t="s">
        <v>45</v>
      </c>
      <c r="E533" t="s">
        <v>45</v>
      </c>
      <c r="F533">
        <v>2016</v>
      </c>
      <c r="G533" t="s">
        <v>287</v>
      </c>
      <c r="J533" t="s">
        <v>24</v>
      </c>
      <c r="K533" t="s">
        <v>25</v>
      </c>
      <c r="L533" t="b">
        <v>1</v>
      </c>
      <c r="M533" t="s">
        <v>2422</v>
      </c>
      <c r="P533" t="b">
        <v>0</v>
      </c>
      <c r="R533" t="str">
        <f>"9783110117394"</f>
        <v>9783110117394</v>
      </c>
      <c r="S533" t="str">
        <f>"9783110856712"</f>
        <v>9783110856712</v>
      </c>
    </row>
    <row r="534" spans="1:20" x14ac:dyDescent="0.3">
      <c r="A534">
        <v>1587646</v>
      </c>
      <c r="B534" t="s">
        <v>2423</v>
      </c>
      <c r="C534" t="s">
        <v>2424</v>
      </c>
      <c r="D534" t="s">
        <v>45</v>
      </c>
      <c r="E534" t="s">
        <v>45</v>
      </c>
      <c r="F534">
        <v>2016</v>
      </c>
      <c r="G534" t="s">
        <v>2425</v>
      </c>
      <c r="J534" t="s">
        <v>24</v>
      </c>
      <c r="K534" t="s">
        <v>25</v>
      </c>
      <c r="L534" t="b">
        <v>1</v>
      </c>
      <c r="M534" t="s">
        <v>2426</v>
      </c>
      <c r="O534" t="s">
        <v>392</v>
      </c>
      <c r="P534" t="b">
        <v>0</v>
      </c>
      <c r="R534" t="str">
        <f>"9783110107296"</f>
        <v>9783110107296</v>
      </c>
      <c r="S534" t="str">
        <f>"9783110859157"</f>
        <v>9783110859157</v>
      </c>
    </row>
    <row r="535" spans="1:20" x14ac:dyDescent="0.3">
      <c r="A535">
        <v>1587638</v>
      </c>
      <c r="B535" t="s">
        <v>2427</v>
      </c>
      <c r="C535" t="s">
        <v>2428</v>
      </c>
      <c r="D535" t="s">
        <v>45</v>
      </c>
      <c r="E535" t="s">
        <v>45</v>
      </c>
      <c r="F535">
        <v>2016</v>
      </c>
      <c r="G535" t="s">
        <v>2429</v>
      </c>
      <c r="J535" t="s">
        <v>24</v>
      </c>
      <c r="K535" t="s">
        <v>25</v>
      </c>
      <c r="L535" t="b">
        <v>1</v>
      </c>
      <c r="M535" t="s">
        <v>2430</v>
      </c>
      <c r="P535" t="b">
        <v>0</v>
      </c>
      <c r="R535" t="str">
        <f>"9783110100907"</f>
        <v>9783110100907</v>
      </c>
      <c r="S535" t="str">
        <f>"9783110809572"</f>
        <v>9783110809572</v>
      </c>
    </row>
    <row r="536" spans="1:20" x14ac:dyDescent="0.3">
      <c r="A536">
        <v>1580377</v>
      </c>
      <c r="B536" t="s">
        <v>2431</v>
      </c>
      <c r="D536" t="s">
        <v>2432</v>
      </c>
      <c r="E536" t="s">
        <v>2433</v>
      </c>
      <c r="F536">
        <v>2017</v>
      </c>
      <c r="G536" t="s">
        <v>2434</v>
      </c>
      <c r="H536" t="s">
        <v>2435</v>
      </c>
      <c r="I536" t="s">
        <v>2436</v>
      </c>
      <c r="J536" t="s">
        <v>2437</v>
      </c>
      <c r="K536" t="s">
        <v>25</v>
      </c>
      <c r="L536" t="b">
        <v>1</v>
      </c>
      <c r="M536" t="s">
        <v>2438</v>
      </c>
      <c r="N536" t="str">
        <f>"340"</f>
        <v>340</v>
      </c>
      <c r="O536" t="s">
        <v>2439</v>
      </c>
      <c r="P536" t="b">
        <v>0</v>
      </c>
      <c r="R536" t="str">
        <f>"9783737603522"</f>
        <v>9783737603522</v>
      </c>
      <c r="S536" t="str">
        <f>"9783737603539"</f>
        <v>9783737603539</v>
      </c>
      <c r="T536">
        <v>1002064878</v>
      </c>
    </row>
    <row r="537" spans="1:20" x14ac:dyDescent="0.3">
      <c r="A537">
        <v>1580376</v>
      </c>
      <c r="B537" t="s">
        <v>2440</v>
      </c>
      <c r="C537" t="s">
        <v>2441</v>
      </c>
      <c r="D537" t="s">
        <v>2442</v>
      </c>
      <c r="E537" t="s">
        <v>2443</v>
      </c>
      <c r="F537">
        <v>2017</v>
      </c>
      <c r="G537" t="s">
        <v>2444</v>
      </c>
      <c r="H537" t="s">
        <v>2445</v>
      </c>
      <c r="I537" t="s">
        <v>2446</v>
      </c>
      <c r="J537" t="s">
        <v>2437</v>
      </c>
      <c r="K537" t="s">
        <v>269</v>
      </c>
      <c r="L537" t="b">
        <v>1</v>
      </c>
      <c r="M537" t="s">
        <v>2447</v>
      </c>
      <c r="N537" t="str">
        <f>"610"</f>
        <v>610</v>
      </c>
      <c r="P537" t="b">
        <v>0</v>
      </c>
      <c r="R537" t="str">
        <f>"9783899938487"</f>
        <v>9783899938487</v>
      </c>
      <c r="S537" t="str">
        <f>"9783842687905"</f>
        <v>9783842687905</v>
      </c>
      <c r="T537">
        <v>989813579</v>
      </c>
    </row>
    <row r="538" spans="1:20" x14ac:dyDescent="0.3">
      <c r="A538">
        <v>1580195</v>
      </c>
      <c r="B538" t="s">
        <v>2448</v>
      </c>
      <c r="C538" t="s">
        <v>2449</v>
      </c>
      <c r="D538" t="s">
        <v>2450</v>
      </c>
      <c r="E538" t="s">
        <v>2451</v>
      </c>
      <c r="F538">
        <v>2017</v>
      </c>
      <c r="G538" t="s">
        <v>287</v>
      </c>
      <c r="H538" t="s">
        <v>2452</v>
      </c>
      <c r="I538" t="s">
        <v>2453</v>
      </c>
      <c r="J538" t="s">
        <v>2437</v>
      </c>
      <c r="K538" t="s">
        <v>25</v>
      </c>
      <c r="L538" t="b">
        <v>1</v>
      </c>
      <c r="M538" t="s">
        <v>2454</v>
      </c>
      <c r="N538" t="str">
        <f>"190"</f>
        <v>190</v>
      </c>
      <c r="O538" t="s">
        <v>2455</v>
      </c>
      <c r="P538" t="b">
        <v>0</v>
      </c>
      <c r="R538" t="str">
        <f>"9783959482714"</f>
        <v>9783959482714</v>
      </c>
      <c r="S538" t="str">
        <f>"9783959488488"</f>
        <v>9783959488488</v>
      </c>
      <c r="T538">
        <v>1002028233</v>
      </c>
    </row>
    <row r="539" spans="1:20" x14ac:dyDescent="0.3">
      <c r="A539">
        <v>1580184</v>
      </c>
      <c r="B539" t="s">
        <v>2456</v>
      </c>
      <c r="C539" t="s">
        <v>2457</v>
      </c>
      <c r="D539" t="s">
        <v>2458</v>
      </c>
      <c r="E539" t="s">
        <v>2459</v>
      </c>
      <c r="F539">
        <v>2017</v>
      </c>
      <c r="G539" t="s">
        <v>2460</v>
      </c>
      <c r="H539" t="s">
        <v>2461</v>
      </c>
      <c r="I539" t="s">
        <v>2462</v>
      </c>
      <c r="J539" t="s">
        <v>2437</v>
      </c>
      <c r="K539" t="s">
        <v>25</v>
      </c>
      <c r="L539" t="b">
        <v>1</v>
      </c>
      <c r="M539" t="s">
        <v>2463</v>
      </c>
      <c r="N539" t="str">
        <f>"782.120943613"</f>
        <v>782.120943613</v>
      </c>
      <c r="O539" t="s">
        <v>2464</v>
      </c>
      <c r="P539" t="b">
        <v>0</v>
      </c>
      <c r="R539" t="str">
        <f>"9783837639766"</f>
        <v>9783837639766</v>
      </c>
      <c r="S539" t="str">
        <f>"9783839439760"</f>
        <v>9783839439760</v>
      </c>
      <c r="T539">
        <v>1000453586</v>
      </c>
    </row>
    <row r="540" spans="1:20" x14ac:dyDescent="0.3">
      <c r="A540">
        <v>1580174</v>
      </c>
      <c r="B540" t="s">
        <v>2465</v>
      </c>
      <c r="C540" t="s">
        <v>2466</v>
      </c>
      <c r="D540" t="s">
        <v>2458</v>
      </c>
      <c r="E540" t="s">
        <v>2459</v>
      </c>
      <c r="F540">
        <v>2017</v>
      </c>
      <c r="G540" t="s">
        <v>2467</v>
      </c>
      <c r="H540" t="s">
        <v>2468</v>
      </c>
      <c r="I540" t="s">
        <v>2469</v>
      </c>
      <c r="J540" t="s">
        <v>2437</v>
      </c>
      <c r="K540" t="s">
        <v>25</v>
      </c>
      <c r="L540" t="b">
        <v>1</v>
      </c>
      <c r="M540" t="s">
        <v>2470</v>
      </c>
      <c r="N540" t="str">
        <f>"534"</f>
        <v>534</v>
      </c>
      <c r="O540" t="s">
        <v>2471</v>
      </c>
      <c r="P540" t="b">
        <v>0</v>
      </c>
      <c r="R540" t="str">
        <f>"9783837639285"</f>
        <v>9783837639285</v>
      </c>
      <c r="S540" t="str">
        <f>"9783839439289"</f>
        <v>9783839439289</v>
      </c>
      <c r="T540">
        <v>1000453156</v>
      </c>
    </row>
    <row r="541" spans="1:20" x14ac:dyDescent="0.3">
      <c r="A541">
        <v>1580134</v>
      </c>
      <c r="B541" t="s">
        <v>2472</v>
      </c>
      <c r="C541" t="s">
        <v>2473</v>
      </c>
      <c r="D541" t="s">
        <v>2458</v>
      </c>
      <c r="E541" t="s">
        <v>2459</v>
      </c>
      <c r="F541">
        <v>2017</v>
      </c>
      <c r="G541" t="s">
        <v>2474</v>
      </c>
      <c r="H541" t="s">
        <v>2475</v>
      </c>
      <c r="I541" t="s">
        <v>2476</v>
      </c>
      <c r="J541" t="s">
        <v>2437</v>
      </c>
      <c r="K541" t="s">
        <v>25</v>
      </c>
      <c r="L541" t="b">
        <v>1</v>
      </c>
      <c r="M541" t="s">
        <v>2477</v>
      </c>
      <c r="N541" t="str">
        <f>"781.1"</f>
        <v>781.1</v>
      </c>
      <c r="O541" t="s">
        <v>2478</v>
      </c>
      <c r="P541" t="b">
        <v>0</v>
      </c>
      <c r="R541" t="str">
        <f>"9783837636802"</f>
        <v>9783837636802</v>
      </c>
      <c r="S541" t="str">
        <f>"9783839436806"</f>
        <v>9783839436806</v>
      </c>
      <c r="T541">
        <v>1000451284</v>
      </c>
    </row>
    <row r="542" spans="1:20" x14ac:dyDescent="0.3">
      <c r="A542">
        <v>1580132</v>
      </c>
      <c r="B542" t="s">
        <v>2479</v>
      </c>
      <c r="C542" t="s">
        <v>2480</v>
      </c>
      <c r="D542" t="s">
        <v>2458</v>
      </c>
      <c r="E542" t="s">
        <v>2459</v>
      </c>
      <c r="F542">
        <v>2017</v>
      </c>
      <c r="G542" t="s">
        <v>939</v>
      </c>
      <c r="H542" t="s">
        <v>2481</v>
      </c>
      <c r="I542" t="s">
        <v>2482</v>
      </c>
      <c r="J542" t="s">
        <v>2437</v>
      </c>
      <c r="K542" t="s">
        <v>269</v>
      </c>
      <c r="L542" t="b">
        <v>1</v>
      </c>
      <c r="M542" t="s">
        <v>2483</v>
      </c>
      <c r="N542" t="str">
        <f>"300"</f>
        <v>300</v>
      </c>
      <c r="O542" t="s">
        <v>2484</v>
      </c>
      <c r="P542" t="b">
        <v>0</v>
      </c>
      <c r="R542" t="str">
        <f>"9783837636536"</f>
        <v>9783837636536</v>
      </c>
      <c r="S542" t="str">
        <f>"9783732836536"</f>
        <v>9783732836536</v>
      </c>
      <c r="T542">
        <v>1002121937</v>
      </c>
    </row>
    <row r="543" spans="1:20" x14ac:dyDescent="0.3">
      <c r="A543">
        <v>1580131</v>
      </c>
      <c r="B543" t="s">
        <v>2485</v>
      </c>
      <c r="C543" t="s">
        <v>2486</v>
      </c>
      <c r="D543" t="s">
        <v>2458</v>
      </c>
      <c r="E543" t="s">
        <v>2459</v>
      </c>
      <c r="F543">
        <v>2017</v>
      </c>
      <c r="H543" t="s">
        <v>2487</v>
      </c>
      <c r="I543" t="s">
        <v>2488</v>
      </c>
      <c r="J543" t="s">
        <v>2437</v>
      </c>
      <c r="K543" t="s">
        <v>25</v>
      </c>
      <c r="L543" t="b">
        <v>1</v>
      </c>
      <c r="M543" t="s">
        <v>2489</v>
      </c>
      <c r="N543" t="str">
        <f>"190"</f>
        <v>190</v>
      </c>
      <c r="O543" t="s">
        <v>2490</v>
      </c>
      <c r="P543" t="b">
        <v>0</v>
      </c>
      <c r="R543" t="str">
        <f>"9783837636116"</f>
        <v>9783837636116</v>
      </c>
      <c r="S543" t="str">
        <f>"9783839436110"</f>
        <v>9783839436110</v>
      </c>
      <c r="T543">
        <v>1000454008</v>
      </c>
    </row>
    <row r="544" spans="1:20" x14ac:dyDescent="0.3">
      <c r="A544">
        <v>1580128</v>
      </c>
      <c r="B544" t="s">
        <v>2491</v>
      </c>
      <c r="C544" t="s">
        <v>2492</v>
      </c>
      <c r="D544" t="s">
        <v>2458</v>
      </c>
      <c r="E544" t="s">
        <v>2459</v>
      </c>
      <c r="F544">
        <v>2017</v>
      </c>
      <c r="J544" t="s">
        <v>2437</v>
      </c>
      <c r="K544" t="s">
        <v>25</v>
      </c>
      <c r="L544" t="b">
        <v>1</v>
      </c>
      <c r="M544" t="s">
        <v>2493</v>
      </c>
      <c r="O544" t="s">
        <v>2494</v>
      </c>
      <c r="P544" t="b">
        <v>0</v>
      </c>
      <c r="R544" t="str">
        <f>"9783837635850"</f>
        <v>9783837635850</v>
      </c>
      <c r="S544" t="str">
        <f>"9783839435854"</f>
        <v>9783839435854</v>
      </c>
    </row>
    <row r="545" spans="1:20" x14ac:dyDescent="0.3">
      <c r="A545">
        <v>1580127</v>
      </c>
      <c r="B545" t="s">
        <v>2495</v>
      </c>
      <c r="C545" t="s">
        <v>2496</v>
      </c>
      <c r="D545" t="s">
        <v>2458</v>
      </c>
      <c r="E545" t="s">
        <v>2459</v>
      </c>
      <c r="F545">
        <v>2017</v>
      </c>
      <c r="J545" t="s">
        <v>2437</v>
      </c>
      <c r="K545" t="s">
        <v>25</v>
      </c>
      <c r="L545" t="b">
        <v>1</v>
      </c>
      <c r="M545" t="s">
        <v>2497</v>
      </c>
      <c r="P545" t="b">
        <v>0</v>
      </c>
      <c r="R545" t="str">
        <f>"9783837635546"</f>
        <v>9783837635546</v>
      </c>
      <c r="S545" t="str">
        <f>"9783839435540"</f>
        <v>9783839435540</v>
      </c>
    </row>
    <row r="546" spans="1:20" x14ac:dyDescent="0.3">
      <c r="A546">
        <v>1580126</v>
      </c>
      <c r="B546" t="s">
        <v>2498</v>
      </c>
      <c r="C546" t="s">
        <v>2499</v>
      </c>
      <c r="D546" t="s">
        <v>2458</v>
      </c>
      <c r="E546" t="s">
        <v>2459</v>
      </c>
      <c r="F546">
        <v>2017</v>
      </c>
      <c r="J546" t="s">
        <v>2437</v>
      </c>
      <c r="K546" t="s">
        <v>25</v>
      </c>
      <c r="L546" t="b">
        <v>1</v>
      </c>
      <c r="M546" t="s">
        <v>2500</v>
      </c>
      <c r="O546" t="s">
        <v>2501</v>
      </c>
      <c r="P546" t="b">
        <v>0</v>
      </c>
      <c r="R546" t="str">
        <f>"9783837635447"</f>
        <v>9783837635447</v>
      </c>
      <c r="S546" t="str">
        <f>"9783839435441"</f>
        <v>9783839435441</v>
      </c>
    </row>
    <row r="547" spans="1:20" x14ac:dyDescent="0.3">
      <c r="A547">
        <v>1580125</v>
      </c>
      <c r="B547" t="s">
        <v>2502</v>
      </c>
      <c r="C547" t="s">
        <v>2503</v>
      </c>
      <c r="D547" t="s">
        <v>2458</v>
      </c>
      <c r="E547" t="s">
        <v>2459</v>
      </c>
      <c r="F547">
        <v>2017</v>
      </c>
      <c r="J547" t="s">
        <v>2437</v>
      </c>
      <c r="K547" t="s">
        <v>269</v>
      </c>
      <c r="L547" t="b">
        <v>1</v>
      </c>
      <c r="M547" t="s">
        <v>2504</v>
      </c>
      <c r="O547" t="s">
        <v>2484</v>
      </c>
      <c r="P547" t="b">
        <v>0</v>
      </c>
      <c r="R547" t="str">
        <f>"9783837635270"</f>
        <v>9783837635270</v>
      </c>
      <c r="S547" t="str">
        <f>"9783732835270"</f>
        <v>9783732835270</v>
      </c>
    </row>
    <row r="548" spans="1:20" x14ac:dyDescent="0.3">
      <c r="A548">
        <v>1580124</v>
      </c>
      <c r="B548" t="s">
        <v>2505</v>
      </c>
      <c r="C548" t="s">
        <v>2506</v>
      </c>
      <c r="D548" t="s">
        <v>2458</v>
      </c>
      <c r="E548" t="s">
        <v>2459</v>
      </c>
      <c r="F548">
        <v>2017</v>
      </c>
      <c r="J548" t="s">
        <v>2437</v>
      </c>
      <c r="K548" t="s">
        <v>269</v>
      </c>
      <c r="L548" t="b">
        <v>1</v>
      </c>
      <c r="M548" t="s">
        <v>2507</v>
      </c>
      <c r="O548" t="s">
        <v>2501</v>
      </c>
      <c r="P548" t="b">
        <v>0</v>
      </c>
      <c r="R548" t="str">
        <f>"9783837634969"</f>
        <v>9783837634969</v>
      </c>
      <c r="S548" t="str">
        <f>"9783732834969"</f>
        <v>9783732834969</v>
      </c>
    </row>
    <row r="549" spans="1:20" x14ac:dyDescent="0.3">
      <c r="A549">
        <v>1580123</v>
      </c>
      <c r="B549" t="s">
        <v>2508</v>
      </c>
      <c r="C549" t="s">
        <v>2509</v>
      </c>
      <c r="D549" t="s">
        <v>2458</v>
      </c>
      <c r="E549" t="s">
        <v>2459</v>
      </c>
      <c r="F549">
        <v>2017</v>
      </c>
      <c r="J549" t="s">
        <v>2437</v>
      </c>
      <c r="K549" t="s">
        <v>25</v>
      </c>
      <c r="L549" t="b">
        <v>1</v>
      </c>
      <c r="M549" t="s">
        <v>2510</v>
      </c>
      <c r="O549" t="s">
        <v>2511</v>
      </c>
      <c r="P549" t="b">
        <v>0</v>
      </c>
      <c r="R549" t="str">
        <f>"9783837634938"</f>
        <v>9783837634938</v>
      </c>
      <c r="S549" t="str">
        <f>"9783839434932"</f>
        <v>9783839434932</v>
      </c>
    </row>
    <row r="550" spans="1:20" x14ac:dyDescent="0.3">
      <c r="A550">
        <v>1580122</v>
      </c>
      <c r="B550" t="s">
        <v>2512</v>
      </c>
      <c r="C550" t="s">
        <v>2513</v>
      </c>
      <c r="D550" t="s">
        <v>2458</v>
      </c>
      <c r="E550" t="s">
        <v>2459</v>
      </c>
      <c r="F550">
        <v>2017</v>
      </c>
      <c r="J550" t="s">
        <v>2437</v>
      </c>
      <c r="K550" t="s">
        <v>25</v>
      </c>
      <c r="L550" t="b">
        <v>1</v>
      </c>
      <c r="M550" t="s">
        <v>2514</v>
      </c>
      <c r="P550" t="b">
        <v>0</v>
      </c>
      <c r="R550" t="str">
        <f>"9783837634280"</f>
        <v>9783837634280</v>
      </c>
      <c r="S550" t="str">
        <f>"9783839434284"</f>
        <v>9783839434284</v>
      </c>
    </row>
    <row r="551" spans="1:20" x14ac:dyDescent="0.3">
      <c r="A551">
        <v>1580121</v>
      </c>
      <c r="B551" t="s">
        <v>2515</v>
      </c>
      <c r="C551" t="s">
        <v>2516</v>
      </c>
      <c r="D551" t="s">
        <v>2458</v>
      </c>
      <c r="E551" t="s">
        <v>2459</v>
      </c>
      <c r="F551">
        <v>2017</v>
      </c>
      <c r="J551" t="s">
        <v>2437</v>
      </c>
      <c r="K551" t="s">
        <v>25</v>
      </c>
      <c r="L551" t="b">
        <v>1</v>
      </c>
      <c r="M551" t="s">
        <v>2517</v>
      </c>
      <c r="O551" t="s">
        <v>2518</v>
      </c>
      <c r="P551" t="b">
        <v>0</v>
      </c>
      <c r="R551" t="str">
        <f>"9783837634259"</f>
        <v>9783837634259</v>
      </c>
      <c r="S551" t="str">
        <f>"9783839434253"</f>
        <v>9783839434253</v>
      </c>
    </row>
    <row r="552" spans="1:20" x14ac:dyDescent="0.3">
      <c r="A552">
        <v>1580120</v>
      </c>
      <c r="B552" t="s">
        <v>2519</v>
      </c>
      <c r="C552" t="s">
        <v>2520</v>
      </c>
      <c r="D552" t="s">
        <v>2458</v>
      </c>
      <c r="E552" t="s">
        <v>2459</v>
      </c>
      <c r="F552">
        <v>2017</v>
      </c>
      <c r="J552" t="s">
        <v>2437</v>
      </c>
      <c r="K552" t="s">
        <v>25</v>
      </c>
      <c r="L552" t="b">
        <v>1</v>
      </c>
      <c r="M552" t="s">
        <v>2521</v>
      </c>
      <c r="O552" t="s">
        <v>2494</v>
      </c>
      <c r="P552" t="b">
        <v>0</v>
      </c>
      <c r="R552" t="str">
        <f>"9783837634174"</f>
        <v>9783837634174</v>
      </c>
      <c r="S552" t="str">
        <f>"9783839434178"</f>
        <v>9783839434178</v>
      </c>
    </row>
    <row r="553" spans="1:20" x14ac:dyDescent="0.3">
      <c r="A553">
        <v>1580118</v>
      </c>
      <c r="B553" t="s">
        <v>2522</v>
      </c>
      <c r="C553" t="s">
        <v>2523</v>
      </c>
      <c r="D553" t="s">
        <v>2458</v>
      </c>
      <c r="E553" t="s">
        <v>2459</v>
      </c>
      <c r="F553">
        <v>2017</v>
      </c>
      <c r="G553" t="s">
        <v>939</v>
      </c>
      <c r="H553" t="s">
        <v>2524</v>
      </c>
      <c r="I553" t="s">
        <v>2525</v>
      </c>
      <c r="J553" t="s">
        <v>2437</v>
      </c>
      <c r="K553" t="s">
        <v>269</v>
      </c>
      <c r="L553" t="b">
        <v>1</v>
      </c>
      <c r="M553" t="s">
        <v>2526</v>
      </c>
      <c r="N553" t="str">
        <f>"300"</f>
        <v>300</v>
      </c>
      <c r="O553" t="s">
        <v>2527</v>
      </c>
      <c r="P553" t="b">
        <v>0</v>
      </c>
      <c r="R553" t="str">
        <f>"9783837633689"</f>
        <v>9783837633689</v>
      </c>
      <c r="S553" t="str">
        <f>"9783732833689"</f>
        <v>9783732833689</v>
      </c>
      <c r="T553">
        <v>1002120454</v>
      </c>
    </row>
    <row r="554" spans="1:20" x14ac:dyDescent="0.3">
      <c r="A554">
        <v>1580116</v>
      </c>
      <c r="B554" t="s">
        <v>2528</v>
      </c>
      <c r="C554" t="s">
        <v>2529</v>
      </c>
      <c r="D554" t="s">
        <v>2458</v>
      </c>
      <c r="E554" t="s">
        <v>2459</v>
      </c>
      <c r="F554">
        <v>2017</v>
      </c>
      <c r="J554" t="s">
        <v>2437</v>
      </c>
      <c r="K554" t="s">
        <v>269</v>
      </c>
      <c r="L554" t="b">
        <v>1</v>
      </c>
      <c r="M554" t="s">
        <v>2530</v>
      </c>
      <c r="O554" t="s">
        <v>2484</v>
      </c>
      <c r="P554" t="b">
        <v>0</v>
      </c>
      <c r="R554" t="str">
        <f>"9783837632637"</f>
        <v>9783837632637</v>
      </c>
      <c r="S554" t="str">
        <f>"9783732832637"</f>
        <v>9783732832637</v>
      </c>
    </row>
    <row r="555" spans="1:20" x14ac:dyDescent="0.3">
      <c r="A555">
        <v>1580115</v>
      </c>
      <c r="B555" t="s">
        <v>2531</v>
      </c>
      <c r="D555" t="s">
        <v>2458</v>
      </c>
      <c r="E555" t="s">
        <v>2459</v>
      </c>
      <c r="F555">
        <v>2017</v>
      </c>
      <c r="J555" t="s">
        <v>2437</v>
      </c>
      <c r="K555" t="s">
        <v>25</v>
      </c>
      <c r="L555" t="b">
        <v>1</v>
      </c>
      <c r="M555" t="s">
        <v>2532</v>
      </c>
      <c r="O555" t="s">
        <v>2464</v>
      </c>
      <c r="P555" t="b">
        <v>0</v>
      </c>
      <c r="R555" t="str">
        <f>"9783837632507"</f>
        <v>9783837632507</v>
      </c>
      <c r="S555" t="str">
        <f>"9783839432501"</f>
        <v>9783839432501</v>
      </c>
    </row>
    <row r="556" spans="1:20" x14ac:dyDescent="0.3">
      <c r="A556">
        <v>1580113</v>
      </c>
      <c r="B556" t="s">
        <v>2533</v>
      </c>
      <c r="D556" t="s">
        <v>2458</v>
      </c>
      <c r="E556" t="s">
        <v>2459</v>
      </c>
      <c r="F556">
        <v>2017</v>
      </c>
      <c r="G556" t="s">
        <v>2534</v>
      </c>
      <c r="H556" t="s">
        <v>2535</v>
      </c>
      <c r="I556" t="s">
        <v>2536</v>
      </c>
      <c r="J556" t="s">
        <v>2437</v>
      </c>
      <c r="K556" t="s">
        <v>25</v>
      </c>
      <c r="L556" t="b">
        <v>1</v>
      </c>
      <c r="M556" t="s">
        <v>2537</v>
      </c>
      <c r="N556" t="str">
        <f>"230.04624"</f>
        <v>230.04624</v>
      </c>
      <c r="O556" t="s">
        <v>2538</v>
      </c>
      <c r="P556" t="b">
        <v>0</v>
      </c>
      <c r="R556" t="str">
        <f>"9783837632019"</f>
        <v>9783837632019</v>
      </c>
      <c r="S556" t="str">
        <f>"9783839432013"</f>
        <v>9783839432013</v>
      </c>
      <c r="T556">
        <v>1000452202</v>
      </c>
    </row>
    <row r="557" spans="1:20" x14ac:dyDescent="0.3">
      <c r="A557">
        <v>1580111</v>
      </c>
      <c r="B557" t="s">
        <v>2539</v>
      </c>
      <c r="D557" t="s">
        <v>2458</v>
      </c>
      <c r="E557" t="s">
        <v>2459</v>
      </c>
      <c r="F557">
        <v>2017</v>
      </c>
      <c r="J557" t="s">
        <v>2437</v>
      </c>
      <c r="K557" t="s">
        <v>25</v>
      </c>
      <c r="L557" t="b">
        <v>1</v>
      </c>
      <c r="M557" t="s">
        <v>2540</v>
      </c>
      <c r="O557" t="s">
        <v>2541</v>
      </c>
      <c r="P557" t="b">
        <v>0</v>
      </c>
      <c r="R557" t="str">
        <f>"9783837625943"</f>
        <v>9783837625943</v>
      </c>
      <c r="S557" t="str">
        <f>"9783839425947"</f>
        <v>9783839425947</v>
      </c>
    </row>
    <row r="558" spans="1:20" x14ac:dyDescent="0.3">
      <c r="A558">
        <v>1579352</v>
      </c>
      <c r="B558" t="s">
        <v>2542</v>
      </c>
      <c r="D558" t="s">
        <v>882</v>
      </c>
      <c r="E558" t="s">
        <v>883</v>
      </c>
      <c r="F558">
        <v>2017</v>
      </c>
      <c r="G558" t="s">
        <v>145</v>
      </c>
      <c r="H558" t="s">
        <v>2543</v>
      </c>
      <c r="I558" t="s">
        <v>2544</v>
      </c>
      <c r="J558" t="s">
        <v>24</v>
      </c>
      <c r="K558" t="s">
        <v>25</v>
      </c>
      <c r="L558" t="b">
        <v>1</v>
      </c>
      <c r="M558" t="s">
        <v>2545</v>
      </c>
      <c r="N558" t="str">
        <f>"820.9/358"</f>
        <v>820.9/358</v>
      </c>
      <c r="P558" t="b">
        <v>0</v>
      </c>
      <c r="Q558" t="b">
        <v>0</v>
      </c>
      <c r="R558" t="str">
        <f>"9781487501204"</f>
        <v>9781487501204</v>
      </c>
      <c r="S558" t="str">
        <f>"9781487512699"</f>
        <v>9781487512699</v>
      </c>
      <c r="T558">
        <v>1001740452</v>
      </c>
    </row>
    <row r="559" spans="1:20" x14ac:dyDescent="0.3">
      <c r="A559">
        <v>1571671</v>
      </c>
      <c r="B559" t="s">
        <v>2546</v>
      </c>
      <c r="D559" t="s">
        <v>2547</v>
      </c>
      <c r="E559" t="s">
        <v>2548</v>
      </c>
      <c r="F559">
        <v>2017</v>
      </c>
      <c r="G559" t="s">
        <v>2549</v>
      </c>
      <c r="H559" t="s">
        <v>2550</v>
      </c>
      <c r="I559" t="s">
        <v>2551</v>
      </c>
      <c r="J559" t="s">
        <v>596</v>
      </c>
      <c r="K559" t="s">
        <v>55</v>
      </c>
      <c r="L559" t="b">
        <v>1</v>
      </c>
      <c r="M559" t="s">
        <v>2552</v>
      </c>
      <c r="N559" t="str">
        <f>"343.45064"</f>
        <v>343.45064</v>
      </c>
      <c r="P559" t="b">
        <v>0</v>
      </c>
      <c r="Q559" t="b">
        <v>0</v>
      </c>
      <c r="S559" t="str">
        <f>"9788892167629"</f>
        <v>9788892167629</v>
      </c>
      <c r="T559">
        <v>1000453211</v>
      </c>
    </row>
    <row r="560" spans="1:20" x14ac:dyDescent="0.3">
      <c r="A560">
        <v>1571670</v>
      </c>
      <c r="B560" t="s">
        <v>2553</v>
      </c>
      <c r="D560" t="s">
        <v>2547</v>
      </c>
      <c r="E560" t="s">
        <v>2548</v>
      </c>
      <c r="F560">
        <v>2017</v>
      </c>
      <c r="G560" t="s">
        <v>1620</v>
      </c>
      <c r="H560" t="s">
        <v>2554</v>
      </c>
      <c r="I560" t="s">
        <v>2555</v>
      </c>
      <c r="J560" t="s">
        <v>596</v>
      </c>
      <c r="K560" t="s">
        <v>55</v>
      </c>
      <c r="L560" t="b">
        <v>1</v>
      </c>
      <c r="M560" t="s">
        <v>2556</v>
      </c>
      <c r="N560" t="str">
        <f>"345.450522"</f>
        <v>345.450522</v>
      </c>
      <c r="O560" t="s">
        <v>2557</v>
      </c>
      <c r="P560" t="b">
        <v>0</v>
      </c>
      <c r="Q560" t="b">
        <v>0</v>
      </c>
      <c r="S560" t="str">
        <f>"9788892169975"</f>
        <v>9788892169975</v>
      </c>
      <c r="T560">
        <v>1000453683</v>
      </c>
    </row>
    <row r="561" spans="1:20" x14ac:dyDescent="0.3">
      <c r="A561">
        <v>1570641</v>
      </c>
      <c r="B561" t="s">
        <v>2558</v>
      </c>
      <c r="C561" t="s">
        <v>2559</v>
      </c>
      <c r="D561" t="s">
        <v>2560</v>
      </c>
      <c r="E561" t="s">
        <v>2560</v>
      </c>
      <c r="F561">
        <v>2017</v>
      </c>
      <c r="G561" t="s">
        <v>2561</v>
      </c>
      <c r="H561" t="s">
        <v>2562</v>
      </c>
      <c r="I561" t="s">
        <v>2563</v>
      </c>
      <c r="J561" t="s">
        <v>24</v>
      </c>
      <c r="K561" t="s">
        <v>25</v>
      </c>
      <c r="L561" t="b">
        <v>1</v>
      </c>
      <c r="M561" t="s">
        <v>2564</v>
      </c>
      <c r="N561" t="str">
        <f>"551.65759"</f>
        <v>551.65759</v>
      </c>
      <c r="P561" t="b">
        <v>0</v>
      </c>
      <c r="R561" t="str">
        <f>"9780813054445"</f>
        <v>9780813054445</v>
      </c>
      <c r="S561" t="str">
        <f>"9780813052885"</f>
        <v>9780813052885</v>
      </c>
      <c r="T561">
        <v>999727737</v>
      </c>
    </row>
    <row r="562" spans="1:20" x14ac:dyDescent="0.3">
      <c r="A562">
        <v>1570292</v>
      </c>
      <c r="B562" t="s">
        <v>2565</v>
      </c>
      <c r="C562" t="s">
        <v>2566</v>
      </c>
      <c r="D562" t="s">
        <v>2567</v>
      </c>
      <c r="E562" t="s">
        <v>2568</v>
      </c>
      <c r="F562">
        <v>2017</v>
      </c>
      <c r="G562" t="s">
        <v>340</v>
      </c>
      <c r="H562" t="s">
        <v>2569</v>
      </c>
      <c r="I562" t="s">
        <v>2570</v>
      </c>
      <c r="J562" t="s">
        <v>2571</v>
      </c>
      <c r="K562" t="s">
        <v>25</v>
      </c>
      <c r="L562" t="b">
        <v>1</v>
      </c>
      <c r="M562" t="s">
        <v>2572</v>
      </c>
      <c r="N562" t="str">
        <f>"006.3/1"</f>
        <v>006.3/1</v>
      </c>
      <c r="P562" t="b">
        <v>0</v>
      </c>
      <c r="R562" t="str">
        <f>"9784764905375"</f>
        <v>9784764905375</v>
      </c>
      <c r="S562" t="str">
        <f>"9784764971240"</f>
        <v>9784764971240</v>
      </c>
      <c r="T562">
        <v>1000301958</v>
      </c>
    </row>
    <row r="563" spans="1:20" x14ac:dyDescent="0.3">
      <c r="A563">
        <v>1570289</v>
      </c>
      <c r="B563" t="s">
        <v>2573</v>
      </c>
      <c r="C563" t="s">
        <v>2574</v>
      </c>
      <c r="D563" t="s">
        <v>2567</v>
      </c>
      <c r="E563" t="s">
        <v>2568</v>
      </c>
      <c r="F563">
        <v>2017</v>
      </c>
      <c r="G563" t="s">
        <v>2575</v>
      </c>
      <c r="H563" t="s">
        <v>2576</v>
      </c>
      <c r="I563" t="s">
        <v>2577</v>
      </c>
      <c r="J563" t="s">
        <v>2571</v>
      </c>
      <c r="K563" t="s">
        <v>25</v>
      </c>
      <c r="L563" t="b">
        <v>1</v>
      </c>
      <c r="M563" t="s">
        <v>2578</v>
      </c>
      <c r="N563" t="str">
        <f>"660.6"</f>
        <v>660.6</v>
      </c>
      <c r="O563" t="s">
        <v>2579</v>
      </c>
      <c r="P563" t="b">
        <v>0</v>
      </c>
      <c r="R563" t="str">
        <f>"9784764950283"</f>
        <v>9784764950283</v>
      </c>
      <c r="S563" t="str">
        <f>"9784764971219"</f>
        <v>9784764971219</v>
      </c>
      <c r="T563">
        <v>1000301876</v>
      </c>
    </row>
    <row r="564" spans="1:20" x14ac:dyDescent="0.3">
      <c r="A564">
        <v>1570288</v>
      </c>
      <c r="B564" t="s">
        <v>2580</v>
      </c>
      <c r="C564" t="s">
        <v>2581</v>
      </c>
      <c r="D564" t="s">
        <v>2567</v>
      </c>
      <c r="E564" t="s">
        <v>2568</v>
      </c>
      <c r="F564">
        <v>2017</v>
      </c>
      <c r="G564" t="s">
        <v>456</v>
      </c>
      <c r="H564" t="s">
        <v>2582</v>
      </c>
      <c r="I564" t="s">
        <v>2583</v>
      </c>
      <c r="J564" t="s">
        <v>2571</v>
      </c>
      <c r="K564" t="s">
        <v>25</v>
      </c>
      <c r="L564" t="b">
        <v>1</v>
      </c>
      <c r="M564" t="s">
        <v>2584</v>
      </c>
      <c r="N564" t="str">
        <f>"621.3916"</f>
        <v>621.3916</v>
      </c>
      <c r="P564" t="b">
        <v>0</v>
      </c>
      <c r="R564" t="str">
        <f>"9784764905405"</f>
        <v>9784764905405</v>
      </c>
      <c r="S564" t="str">
        <f>"9784764971233"</f>
        <v>9784764971233</v>
      </c>
      <c r="T564">
        <v>1000301932</v>
      </c>
    </row>
    <row r="565" spans="1:20" x14ac:dyDescent="0.3">
      <c r="A565">
        <v>1569179</v>
      </c>
      <c r="B565" t="s">
        <v>2585</v>
      </c>
      <c r="C565" t="s">
        <v>2586</v>
      </c>
      <c r="D565" t="s">
        <v>882</v>
      </c>
      <c r="E565" t="s">
        <v>2587</v>
      </c>
      <c r="F565">
        <v>2011</v>
      </c>
      <c r="G565" t="s">
        <v>911</v>
      </c>
      <c r="H565" t="s">
        <v>2588</v>
      </c>
      <c r="I565" t="s">
        <v>2589</v>
      </c>
      <c r="J565" t="s">
        <v>24</v>
      </c>
      <c r="K565" t="s">
        <v>269</v>
      </c>
      <c r="L565" t="b">
        <v>1</v>
      </c>
      <c r="M565" t="s">
        <v>2590</v>
      </c>
      <c r="N565" t="str">
        <f>"361.3/2"</f>
        <v>361.3/2</v>
      </c>
      <c r="P565" t="b">
        <v>0</v>
      </c>
      <c r="Q565" t="b">
        <v>0</v>
      </c>
      <c r="R565" t="str">
        <f>"9781442600393"</f>
        <v>9781442600393</v>
      </c>
      <c r="S565" t="str">
        <f>"9781442604322"</f>
        <v>9781442604322</v>
      </c>
      <c r="T565">
        <v>860783118</v>
      </c>
    </row>
    <row r="566" spans="1:20" x14ac:dyDescent="0.3">
      <c r="A566">
        <v>1569162</v>
      </c>
      <c r="B566" t="s">
        <v>2591</v>
      </c>
      <c r="D566" t="s">
        <v>882</v>
      </c>
      <c r="E566" t="s">
        <v>2587</v>
      </c>
      <c r="F566">
        <v>2002</v>
      </c>
      <c r="G566" t="s">
        <v>2592</v>
      </c>
      <c r="H566" t="s">
        <v>2593</v>
      </c>
      <c r="I566" t="s">
        <v>2594</v>
      </c>
      <c r="J566" t="s">
        <v>24</v>
      </c>
      <c r="K566" t="s">
        <v>25</v>
      </c>
      <c r="L566" t="b">
        <v>1</v>
      </c>
      <c r="M566" t="s">
        <v>2595</v>
      </c>
      <c r="N566" t="str">
        <f>"362.29/66/0971"</f>
        <v>362.29/66/0971</v>
      </c>
      <c r="P566" t="b">
        <v>0</v>
      </c>
      <c r="Q566" t="b">
        <v>0</v>
      </c>
      <c r="R566" t="str">
        <f>"9781551114569"</f>
        <v>9781551114569</v>
      </c>
      <c r="S566" t="str">
        <f>"9781442603035"</f>
        <v>9781442603035</v>
      </c>
      <c r="T566">
        <v>1000384835</v>
      </c>
    </row>
    <row r="567" spans="1:20" x14ac:dyDescent="0.3">
      <c r="A567">
        <v>1566935</v>
      </c>
      <c r="B567" t="s">
        <v>2596</v>
      </c>
      <c r="D567" t="s">
        <v>2597</v>
      </c>
      <c r="E567" t="s">
        <v>2598</v>
      </c>
      <c r="F567">
        <v>2017</v>
      </c>
      <c r="J567" t="s">
        <v>442</v>
      </c>
      <c r="K567" t="s">
        <v>25</v>
      </c>
      <c r="L567" t="b">
        <v>1</v>
      </c>
      <c r="M567" t="s">
        <v>2599</v>
      </c>
      <c r="P567" t="b">
        <v>0</v>
      </c>
      <c r="R567" t="str">
        <f>"9781475580419"</f>
        <v>9781475580419</v>
      </c>
      <c r="S567" t="str">
        <f>"9781475580426"</f>
        <v>9781475580426</v>
      </c>
    </row>
    <row r="568" spans="1:20" x14ac:dyDescent="0.3">
      <c r="A568">
        <v>1566819</v>
      </c>
      <c r="B568" t="s">
        <v>2600</v>
      </c>
      <c r="D568" t="s">
        <v>2450</v>
      </c>
      <c r="E568" t="s">
        <v>2451</v>
      </c>
      <c r="F568">
        <v>2017</v>
      </c>
      <c r="G568" t="s">
        <v>870</v>
      </c>
      <c r="H568" t="s">
        <v>2601</v>
      </c>
      <c r="J568" t="s">
        <v>2437</v>
      </c>
      <c r="K568" t="s">
        <v>25</v>
      </c>
      <c r="L568" t="b">
        <v>1</v>
      </c>
      <c r="M568" t="s">
        <v>2602</v>
      </c>
      <c r="N568" t="str">
        <f>"943.55"</f>
        <v>943.55</v>
      </c>
      <c r="P568" t="b">
        <v>0</v>
      </c>
      <c r="R568" t="str">
        <f>"9783959482745"</f>
        <v>9783959482745</v>
      </c>
      <c r="S568" t="str">
        <f>"9783959488457"</f>
        <v>9783959488457</v>
      </c>
      <c r="T568">
        <v>1000393812</v>
      </c>
    </row>
    <row r="569" spans="1:20" x14ac:dyDescent="0.3">
      <c r="A569">
        <v>1566817</v>
      </c>
      <c r="B569" t="s">
        <v>2603</v>
      </c>
      <c r="D569" t="s">
        <v>2450</v>
      </c>
      <c r="E569" t="s">
        <v>2451</v>
      </c>
      <c r="F569">
        <v>2017</v>
      </c>
      <c r="G569" t="s">
        <v>287</v>
      </c>
      <c r="H569" t="s">
        <v>2604</v>
      </c>
      <c r="I569" t="s">
        <v>2605</v>
      </c>
      <c r="J569" t="s">
        <v>2437</v>
      </c>
      <c r="K569" t="s">
        <v>25</v>
      </c>
      <c r="L569" t="b">
        <v>1</v>
      </c>
      <c r="M569" t="s">
        <v>2606</v>
      </c>
      <c r="N569" t="str">
        <f>"248.2/4"</f>
        <v>248.2/4</v>
      </c>
      <c r="P569" t="b">
        <v>0</v>
      </c>
      <c r="R569" t="str">
        <f>"9783959482707"</f>
        <v>9783959482707</v>
      </c>
      <c r="S569" t="str">
        <f>"9783959488440"</f>
        <v>9783959488440</v>
      </c>
      <c r="T569">
        <v>1000393799</v>
      </c>
    </row>
    <row r="570" spans="1:20" x14ac:dyDescent="0.3">
      <c r="A570">
        <v>1566816</v>
      </c>
      <c r="B570" t="s">
        <v>2607</v>
      </c>
      <c r="D570" t="s">
        <v>2450</v>
      </c>
      <c r="E570" t="s">
        <v>2451</v>
      </c>
      <c r="F570">
        <v>2017</v>
      </c>
      <c r="G570" t="s">
        <v>256</v>
      </c>
      <c r="H570" t="s">
        <v>2608</v>
      </c>
      <c r="I570" t="s">
        <v>2609</v>
      </c>
      <c r="J570" t="s">
        <v>580</v>
      </c>
      <c r="K570" t="s">
        <v>25</v>
      </c>
      <c r="L570" t="b">
        <v>1</v>
      </c>
      <c r="M570" t="s">
        <v>2610</v>
      </c>
      <c r="N570" t="str">
        <f>"809.933543"</f>
        <v>809.933543</v>
      </c>
      <c r="O570" t="s">
        <v>2611</v>
      </c>
      <c r="P570" t="b">
        <v>0</v>
      </c>
      <c r="R570" t="str">
        <f>"9783959482783"</f>
        <v>9783959482783</v>
      </c>
      <c r="S570" t="str">
        <f>"9783959488471"</f>
        <v>9783959488471</v>
      </c>
      <c r="T570">
        <v>1000451246</v>
      </c>
    </row>
    <row r="571" spans="1:20" x14ac:dyDescent="0.3">
      <c r="A571">
        <v>1565466</v>
      </c>
      <c r="B571" t="s">
        <v>2612</v>
      </c>
      <c r="C571" t="s">
        <v>2613</v>
      </c>
      <c r="D571" t="s">
        <v>882</v>
      </c>
      <c r="E571" t="s">
        <v>2587</v>
      </c>
      <c r="F571">
        <v>2017</v>
      </c>
      <c r="G571" t="s">
        <v>2592</v>
      </c>
      <c r="H571" t="s">
        <v>2614</v>
      </c>
      <c r="I571" t="s">
        <v>2615</v>
      </c>
      <c r="J571" t="s">
        <v>24</v>
      </c>
      <c r="K571" t="s">
        <v>269</v>
      </c>
      <c r="L571" t="b">
        <v>1</v>
      </c>
      <c r="M571" t="s">
        <v>2616</v>
      </c>
      <c r="N571" t="str">
        <f>"362.880971"</f>
        <v>362.880971</v>
      </c>
      <c r="P571" t="b">
        <v>0</v>
      </c>
      <c r="Q571" t="b">
        <v>0</v>
      </c>
      <c r="R571" t="str">
        <f>"9781442634831"</f>
        <v>9781442634831</v>
      </c>
      <c r="S571" t="str">
        <f>"9781442634855"</f>
        <v>9781442634855</v>
      </c>
      <c r="T571">
        <v>973044128</v>
      </c>
    </row>
    <row r="572" spans="1:20" x14ac:dyDescent="0.3">
      <c r="A572">
        <v>1565440</v>
      </c>
      <c r="B572" t="s">
        <v>2617</v>
      </c>
      <c r="D572" t="s">
        <v>882</v>
      </c>
      <c r="E572" t="s">
        <v>2587</v>
      </c>
      <c r="F572">
        <v>2014</v>
      </c>
      <c r="G572" t="s">
        <v>2254</v>
      </c>
      <c r="H572" t="s">
        <v>2618</v>
      </c>
      <c r="I572" t="s">
        <v>2619</v>
      </c>
      <c r="J572" t="s">
        <v>24</v>
      </c>
      <c r="K572" t="s">
        <v>269</v>
      </c>
      <c r="L572" t="b">
        <v>1</v>
      </c>
      <c r="M572" t="s">
        <v>2620</v>
      </c>
      <c r="N572" t="str">
        <f>"364.971"</f>
        <v>364.971</v>
      </c>
      <c r="P572" t="b">
        <v>0</v>
      </c>
      <c r="Q572" t="b">
        <v>0</v>
      </c>
      <c r="R572" t="str">
        <f>"9781442607101"</f>
        <v>9781442607101</v>
      </c>
      <c r="S572" t="str">
        <f>"9781442607118"</f>
        <v>9781442607118</v>
      </c>
      <c r="T572">
        <v>876425157</v>
      </c>
    </row>
    <row r="573" spans="1:20" x14ac:dyDescent="0.3">
      <c r="A573">
        <v>1565410</v>
      </c>
      <c r="B573" t="s">
        <v>2621</v>
      </c>
      <c r="C573" t="s">
        <v>2622</v>
      </c>
      <c r="D573" t="s">
        <v>882</v>
      </c>
      <c r="E573" t="s">
        <v>2587</v>
      </c>
      <c r="F573">
        <v>2014</v>
      </c>
      <c r="G573" t="s">
        <v>2254</v>
      </c>
      <c r="H573" t="s">
        <v>2623</v>
      </c>
      <c r="I573" t="s">
        <v>2624</v>
      </c>
      <c r="J573" t="s">
        <v>24</v>
      </c>
      <c r="K573" t="s">
        <v>269</v>
      </c>
      <c r="L573" t="b">
        <v>1</v>
      </c>
      <c r="M573" t="s">
        <v>2625</v>
      </c>
      <c r="N573" t="str">
        <f>"364.152/3094409023"</f>
        <v>364.152/3094409023</v>
      </c>
      <c r="P573" t="b">
        <v>0</v>
      </c>
      <c r="Q573" t="b">
        <v>0</v>
      </c>
      <c r="R573" t="str">
        <f>"9781442604773"</f>
        <v>9781442604773</v>
      </c>
      <c r="S573" t="str">
        <f>"9781442604780"</f>
        <v>9781442604780</v>
      </c>
      <c r="T573">
        <v>887635472</v>
      </c>
    </row>
    <row r="574" spans="1:20" x14ac:dyDescent="0.3">
      <c r="A574">
        <v>1565406</v>
      </c>
      <c r="B574" t="s">
        <v>2626</v>
      </c>
      <c r="C574" t="s">
        <v>2627</v>
      </c>
      <c r="D574" t="s">
        <v>882</v>
      </c>
      <c r="E574" t="s">
        <v>2587</v>
      </c>
      <c r="F574">
        <v>2011</v>
      </c>
      <c r="G574" t="s">
        <v>2254</v>
      </c>
      <c r="H574" t="s">
        <v>2628</v>
      </c>
      <c r="I574" t="s">
        <v>2629</v>
      </c>
      <c r="J574" t="s">
        <v>24</v>
      </c>
      <c r="K574" t="s">
        <v>269</v>
      </c>
      <c r="L574" t="b">
        <v>1</v>
      </c>
      <c r="M574" t="s">
        <v>2630</v>
      </c>
      <c r="N574" t="str">
        <f>"362.88082/0971"</f>
        <v>362.88082/0971</v>
      </c>
      <c r="P574" t="b">
        <v>0</v>
      </c>
      <c r="Q574" t="b">
        <v>0</v>
      </c>
      <c r="R574" t="str">
        <f>"9781442603998"</f>
        <v>9781442603998</v>
      </c>
      <c r="S574" t="str">
        <f>"9781442604001"</f>
        <v>9781442604001</v>
      </c>
      <c r="T574">
        <v>679520326</v>
      </c>
    </row>
    <row r="575" spans="1:20" x14ac:dyDescent="0.3">
      <c r="A575">
        <v>1565368</v>
      </c>
      <c r="B575" t="s">
        <v>2631</v>
      </c>
      <c r="C575" t="s">
        <v>2632</v>
      </c>
      <c r="D575" t="s">
        <v>882</v>
      </c>
      <c r="E575" t="s">
        <v>2587</v>
      </c>
      <c r="F575">
        <v>2008</v>
      </c>
      <c r="G575" t="s">
        <v>2592</v>
      </c>
      <c r="H575" t="s">
        <v>2633</v>
      </c>
      <c r="I575" t="s">
        <v>2634</v>
      </c>
      <c r="J575" t="s">
        <v>24</v>
      </c>
      <c r="K575" t="s">
        <v>269</v>
      </c>
      <c r="L575" t="b">
        <v>1</v>
      </c>
      <c r="M575" t="s">
        <v>2635</v>
      </c>
      <c r="N575" t="str">
        <f>"362.5/0973"</f>
        <v>362.5/0973</v>
      </c>
      <c r="O575" t="s">
        <v>2636</v>
      </c>
      <c r="P575" t="b">
        <v>0</v>
      </c>
      <c r="Q575" t="b">
        <v>0</v>
      </c>
      <c r="R575" t="str">
        <f>"9781442600867"</f>
        <v>9781442600867</v>
      </c>
      <c r="S575" t="str">
        <f>"9781442603301"</f>
        <v>9781442603301</v>
      </c>
      <c r="T575">
        <v>998785737</v>
      </c>
    </row>
    <row r="576" spans="1:20" x14ac:dyDescent="0.3">
      <c r="A576">
        <v>1564692</v>
      </c>
      <c r="B576" t="s">
        <v>2637</v>
      </c>
      <c r="D576" t="s">
        <v>2223</v>
      </c>
      <c r="E576" t="s">
        <v>2223</v>
      </c>
      <c r="F576">
        <v>2017</v>
      </c>
      <c r="G576" t="s">
        <v>97</v>
      </c>
      <c r="H576" t="s">
        <v>2638</v>
      </c>
      <c r="I576" t="s">
        <v>2639</v>
      </c>
      <c r="J576" t="s">
        <v>24</v>
      </c>
      <c r="K576" t="s">
        <v>269</v>
      </c>
      <c r="L576" t="b">
        <v>1</v>
      </c>
      <c r="M576" t="s">
        <v>2640</v>
      </c>
      <c r="N576" t="str">
        <f>"930.1"</f>
        <v>930.1</v>
      </c>
      <c r="O576" t="s">
        <v>1276</v>
      </c>
      <c r="P576" t="b">
        <v>0</v>
      </c>
      <c r="R576" t="str">
        <f>"9781607815334"</f>
        <v>9781607815334</v>
      </c>
      <c r="S576" t="str">
        <f>"9781607815341"</f>
        <v>9781607815341</v>
      </c>
      <c r="T576">
        <v>999432772</v>
      </c>
    </row>
    <row r="577" spans="1:20" x14ac:dyDescent="0.3">
      <c r="A577">
        <v>1561671</v>
      </c>
      <c r="B577" t="s">
        <v>2641</v>
      </c>
      <c r="D577" t="s">
        <v>2450</v>
      </c>
      <c r="E577" t="s">
        <v>2451</v>
      </c>
      <c r="F577">
        <v>2017</v>
      </c>
      <c r="G577" t="s">
        <v>287</v>
      </c>
      <c r="H577" t="s">
        <v>2642</v>
      </c>
      <c r="I577" t="s">
        <v>2643</v>
      </c>
      <c r="J577" t="s">
        <v>24</v>
      </c>
      <c r="K577" t="s">
        <v>25</v>
      </c>
      <c r="L577" t="b">
        <v>1</v>
      </c>
      <c r="M577" t="s">
        <v>2644</v>
      </c>
      <c r="N577" t="str">
        <f>"780.07"</f>
        <v>780.07</v>
      </c>
      <c r="O577" t="s">
        <v>2645</v>
      </c>
      <c r="P577" t="b">
        <v>0</v>
      </c>
      <c r="R577" t="str">
        <f>"9783959482530"</f>
        <v>9783959482530</v>
      </c>
      <c r="S577" t="str">
        <f>"9783959488365"</f>
        <v>9783959488365</v>
      </c>
      <c r="T577">
        <v>994882891</v>
      </c>
    </row>
    <row r="578" spans="1:20" x14ac:dyDescent="0.3">
      <c r="A578">
        <v>1561617</v>
      </c>
      <c r="B578" t="s">
        <v>2646</v>
      </c>
      <c r="C578" t="s">
        <v>2647</v>
      </c>
      <c r="D578" t="s">
        <v>2648</v>
      </c>
      <c r="E578" t="s">
        <v>2649</v>
      </c>
      <c r="F578">
        <v>2017</v>
      </c>
      <c r="G578" t="s">
        <v>2650</v>
      </c>
      <c r="H578" t="s">
        <v>2651</v>
      </c>
      <c r="I578" t="s">
        <v>2652</v>
      </c>
      <c r="J578" t="s">
        <v>2437</v>
      </c>
      <c r="K578" t="s">
        <v>269</v>
      </c>
      <c r="L578" t="b">
        <v>1</v>
      </c>
      <c r="M578" t="s">
        <v>2653</v>
      </c>
      <c r="N578" t="str">
        <f>"658.4/062"</f>
        <v>658.4/062</v>
      </c>
      <c r="O578" t="s">
        <v>2654</v>
      </c>
      <c r="P578" t="b">
        <v>0</v>
      </c>
      <c r="R578" t="str">
        <f>"9783958455733"</f>
        <v>9783958455733</v>
      </c>
      <c r="S578" t="str">
        <f>"9783958455740"</f>
        <v>9783958455740</v>
      </c>
      <c r="T578">
        <v>1000155575</v>
      </c>
    </row>
    <row r="579" spans="1:20" x14ac:dyDescent="0.3">
      <c r="A579">
        <v>1560833</v>
      </c>
      <c r="B579" t="s">
        <v>2655</v>
      </c>
      <c r="C579" t="s">
        <v>2656</v>
      </c>
      <c r="D579" t="s">
        <v>2547</v>
      </c>
      <c r="E579" t="s">
        <v>2548</v>
      </c>
      <c r="F579">
        <v>2017</v>
      </c>
      <c r="G579" t="s">
        <v>1468</v>
      </c>
      <c r="H579" t="s">
        <v>2657</v>
      </c>
      <c r="I579" t="s">
        <v>2658</v>
      </c>
      <c r="J579" t="s">
        <v>596</v>
      </c>
      <c r="K579" t="s">
        <v>55</v>
      </c>
      <c r="L579" t="b">
        <v>1</v>
      </c>
      <c r="M579" t="s">
        <v>2659</v>
      </c>
      <c r="N579" t="str">
        <f>"346.4506"</f>
        <v>346.4506</v>
      </c>
      <c r="P579" t="b">
        <v>0</v>
      </c>
      <c r="Q579" t="b">
        <v>0</v>
      </c>
      <c r="S579" t="str">
        <f>"9788892166783"</f>
        <v>9788892166783</v>
      </c>
      <c r="T579">
        <v>995775554</v>
      </c>
    </row>
    <row r="580" spans="1:20" x14ac:dyDescent="0.3">
      <c r="A580">
        <v>1556224</v>
      </c>
      <c r="B580" t="s">
        <v>2660</v>
      </c>
      <c r="C580" t="s">
        <v>2661</v>
      </c>
      <c r="D580" t="s">
        <v>1004</v>
      </c>
      <c r="E580" t="s">
        <v>1004</v>
      </c>
      <c r="F580">
        <v>2016</v>
      </c>
      <c r="G580" t="s">
        <v>1398</v>
      </c>
      <c r="H580" t="s">
        <v>2662</v>
      </c>
      <c r="I580" t="s">
        <v>2663</v>
      </c>
      <c r="J580" t="s">
        <v>854</v>
      </c>
      <c r="K580" t="s">
        <v>25</v>
      </c>
      <c r="L580" t="b">
        <v>1</v>
      </c>
      <c r="M580" t="s">
        <v>2664</v>
      </c>
      <c r="N580" t="str">
        <f>"305.891791"</f>
        <v>305.891791</v>
      </c>
      <c r="P580" t="b">
        <v>0</v>
      </c>
      <c r="Q580" t="b">
        <v>0</v>
      </c>
      <c r="R580" t="str">
        <f>"9788024633299"</f>
        <v>9788024633299</v>
      </c>
      <c r="S580" t="str">
        <f>"9788024634111"</f>
        <v>9788024634111</v>
      </c>
      <c r="T580">
        <v>994006210</v>
      </c>
    </row>
    <row r="581" spans="1:20" x14ac:dyDescent="0.3">
      <c r="A581">
        <v>1556216</v>
      </c>
      <c r="B581" t="s">
        <v>2665</v>
      </c>
      <c r="D581" t="s">
        <v>1004</v>
      </c>
      <c r="E581" t="s">
        <v>1004</v>
      </c>
      <c r="F581">
        <v>2016</v>
      </c>
      <c r="G581" t="s">
        <v>2666</v>
      </c>
      <c r="H581" t="s">
        <v>2667</v>
      </c>
      <c r="I581" t="s">
        <v>2668</v>
      </c>
      <c r="J581" t="s">
        <v>854</v>
      </c>
      <c r="K581" t="s">
        <v>25</v>
      </c>
      <c r="L581" t="b">
        <v>1</v>
      </c>
      <c r="M581" t="s">
        <v>2669</v>
      </c>
      <c r="N581" t="str">
        <f>"616.8/047547"</f>
        <v>616.8/047547</v>
      </c>
      <c r="P581" t="b">
        <v>0</v>
      </c>
      <c r="Q581" t="b">
        <v>0</v>
      </c>
      <c r="R581" t="str">
        <f>"9788024634357"</f>
        <v>9788024634357</v>
      </c>
      <c r="S581" t="str">
        <f>"9788024634593"</f>
        <v>9788024634593</v>
      </c>
      <c r="T581">
        <v>994145803</v>
      </c>
    </row>
    <row r="582" spans="1:20" x14ac:dyDescent="0.3">
      <c r="A582">
        <v>1556209</v>
      </c>
      <c r="B582" t="s">
        <v>2670</v>
      </c>
      <c r="D582" t="s">
        <v>1004</v>
      </c>
      <c r="E582" t="s">
        <v>1004</v>
      </c>
      <c r="F582">
        <v>2016</v>
      </c>
      <c r="G582" t="s">
        <v>2671</v>
      </c>
      <c r="H582" t="s">
        <v>2672</v>
      </c>
      <c r="I582" t="s">
        <v>2673</v>
      </c>
      <c r="J582" t="s">
        <v>854</v>
      </c>
      <c r="K582" t="s">
        <v>25</v>
      </c>
      <c r="L582" t="b">
        <v>1</v>
      </c>
      <c r="M582" t="s">
        <v>2674</v>
      </c>
      <c r="N582" t="str">
        <f>"617.094371"</f>
        <v>617.094371</v>
      </c>
      <c r="P582" t="b">
        <v>0</v>
      </c>
      <c r="Q582" t="b">
        <v>0</v>
      </c>
      <c r="R582" t="str">
        <f>"9788024632384"</f>
        <v>9788024632384</v>
      </c>
      <c r="S582" t="str">
        <f>"9788024632483"</f>
        <v>9788024632483</v>
      </c>
      <c r="T582">
        <v>994210213</v>
      </c>
    </row>
    <row r="583" spans="1:20" x14ac:dyDescent="0.3">
      <c r="A583">
        <v>1556207</v>
      </c>
      <c r="B583" t="s">
        <v>2675</v>
      </c>
      <c r="D583" t="s">
        <v>1004</v>
      </c>
      <c r="E583" t="s">
        <v>1004</v>
      </c>
      <c r="F583">
        <v>2016</v>
      </c>
      <c r="G583" t="s">
        <v>2010</v>
      </c>
      <c r="H583" t="s">
        <v>2676</v>
      </c>
      <c r="J583" t="s">
        <v>854</v>
      </c>
      <c r="K583" t="s">
        <v>25</v>
      </c>
      <c r="L583" t="b">
        <v>1</v>
      </c>
      <c r="M583" t="s">
        <v>2677</v>
      </c>
      <c r="N583" t="str">
        <f>"949.6"</f>
        <v>949.6</v>
      </c>
      <c r="P583" t="b">
        <v>0</v>
      </c>
      <c r="Q583" t="b">
        <v>0</v>
      </c>
      <c r="R583" t="str">
        <f>"9788024631783"</f>
        <v>9788024631783</v>
      </c>
      <c r="S583" t="str">
        <f>"9788024632087"</f>
        <v>9788024632087</v>
      </c>
      <c r="T583">
        <v>994776397</v>
      </c>
    </row>
    <row r="584" spans="1:20" x14ac:dyDescent="0.3">
      <c r="A584">
        <v>1556185</v>
      </c>
      <c r="B584" t="s">
        <v>2678</v>
      </c>
      <c r="D584" t="s">
        <v>2679</v>
      </c>
      <c r="E584" t="s">
        <v>2679</v>
      </c>
      <c r="F584">
        <v>2016</v>
      </c>
      <c r="J584" t="s">
        <v>442</v>
      </c>
      <c r="K584" t="s">
        <v>25</v>
      </c>
      <c r="L584" t="b">
        <v>1</v>
      </c>
      <c r="M584" t="s">
        <v>2680</v>
      </c>
      <c r="P584" t="b">
        <v>0</v>
      </c>
      <c r="S584" t="str">
        <f>"9781942317449"</f>
        <v>9781942317449</v>
      </c>
    </row>
    <row r="585" spans="1:20" x14ac:dyDescent="0.3">
      <c r="A585">
        <v>1556177</v>
      </c>
      <c r="B585" t="s">
        <v>2681</v>
      </c>
      <c r="D585" t="s">
        <v>2679</v>
      </c>
      <c r="E585" t="s">
        <v>2679</v>
      </c>
      <c r="F585">
        <v>2016</v>
      </c>
      <c r="J585" t="s">
        <v>442</v>
      </c>
      <c r="K585" t="s">
        <v>25</v>
      </c>
      <c r="L585" t="b">
        <v>1</v>
      </c>
      <c r="M585" t="s">
        <v>2680</v>
      </c>
      <c r="P585" t="b">
        <v>0</v>
      </c>
      <c r="S585" t="str">
        <f>"9781942317364"</f>
        <v>9781942317364</v>
      </c>
    </row>
    <row r="586" spans="1:20" x14ac:dyDescent="0.3">
      <c r="A586">
        <v>1556146</v>
      </c>
      <c r="B586" t="s">
        <v>2682</v>
      </c>
      <c r="D586" t="s">
        <v>2679</v>
      </c>
      <c r="E586" t="s">
        <v>2679</v>
      </c>
      <c r="F586">
        <v>2016</v>
      </c>
      <c r="J586" t="s">
        <v>442</v>
      </c>
      <c r="K586" t="s">
        <v>25</v>
      </c>
      <c r="L586" t="b">
        <v>1</v>
      </c>
      <c r="M586" t="s">
        <v>2680</v>
      </c>
      <c r="P586" t="b">
        <v>0</v>
      </c>
      <c r="S586" t="str">
        <f>"9781942317432"</f>
        <v>9781942317432</v>
      </c>
    </row>
    <row r="587" spans="1:20" x14ac:dyDescent="0.3">
      <c r="A587">
        <v>1556144</v>
      </c>
      <c r="B587" t="s">
        <v>2683</v>
      </c>
      <c r="D587" t="s">
        <v>2679</v>
      </c>
      <c r="E587" t="s">
        <v>2679</v>
      </c>
      <c r="F587">
        <v>2016</v>
      </c>
      <c r="J587" t="s">
        <v>442</v>
      </c>
      <c r="K587" t="s">
        <v>25</v>
      </c>
      <c r="L587" t="b">
        <v>1</v>
      </c>
      <c r="M587" t="s">
        <v>2680</v>
      </c>
      <c r="P587" t="b">
        <v>0</v>
      </c>
      <c r="S587" t="str">
        <f>"9781942317401"</f>
        <v>9781942317401</v>
      </c>
    </row>
    <row r="588" spans="1:20" x14ac:dyDescent="0.3">
      <c r="A588">
        <v>1556090</v>
      </c>
      <c r="B588" t="s">
        <v>2684</v>
      </c>
      <c r="D588" t="s">
        <v>2685</v>
      </c>
      <c r="E588" t="s">
        <v>2685</v>
      </c>
      <c r="F588">
        <v>2017</v>
      </c>
      <c r="J588" t="s">
        <v>580</v>
      </c>
      <c r="K588" t="s">
        <v>269</v>
      </c>
      <c r="L588" t="b">
        <v>1</v>
      </c>
      <c r="M588" t="s">
        <v>2686</v>
      </c>
      <c r="P588" t="b">
        <v>0</v>
      </c>
      <c r="S588" t="str">
        <f>"9786078528332"</f>
        <v>9786078528332</v>
      </c>
    </row>
    <row r="589" spans="1:20" x14ac:dyDescent="0.3">
      <c r="A589">
        <v>1556089</v>
      </c>
      <c r="B589" t="s">
        <v>2687</v>
      </c>
      <c r="D589" t="s">
        <v>2685</v>
      </c>
      <c r="E589" t="s">
        <v>2685</v>
      </c>
      <c r="F589">
        <v>2017</v>
      </c>
      <c r="J589" t="s">
        <v>580</v>
      </c>
      <c r="K589" t="s">
        <v>269</v>
      </c>
      <c r="L589" t="b">
        <v>1</v>
      </c>
      <c r="M589" t="s">
        <v>2688</v>
      </c>
      <c r="P589" t="b">
        <v>0</v>
      </c>
      <c r="S589" t="str">
        <f>"9786078528400"</f>
        <v>9786078528400</v>
      </c>
    </row>
    <row r="590" spans="1:20" x14ac:dyDescent="0.3">
      <c r="A590">
        <v>1556088</v>
      </c>
      <c r="B590" t="s">
        <v>2689</v>
      </c>
      <c r="D590" t="s">
        <v>2685</v>
      </c>
      <c r="E590" t="s">
        <v>2685</v>
      </c>
      <c r="F590">
        <v>2017</v>
      </c>
      <c r="J590" t="s">
        <v>580</v>
      </c>
      <c r="K590" t="s">
        <v>55</v>
      </c>
      <c r="L590" t="b">
        <v>1</v>
      </c>
      <c r="M590" t="s">
        <v>2690</v>
      </c>
      <c r="P590" t="b">
        <v>0</v>
      </c>
      <c r="S590" t="str">
        <f>"9786078528363"</f>
        <v>9786078528363</v>
      </c>
    </row>
    <row r="591" spans="1:20" x14ac:dyDescent="0.3">
      <c r="A591">
        <v>1556035</v>
      </c>
      <c r="B591" t="s">
        <v>2691</v>
      </c>
      <c r="D591" t="s">
        <v>2597</v>
      </c>
      <c r="E591" t="s">
        <v>2598</v>
      </c>
      <c r="F591">
        <v>2016</v>
      </c>
      <c r="J591" t="s">
        <v>442</v>
      </c>
      <c r="K591" t="s">
        <v>25</v>
      </c>
      <c r="L591" t="b">
        <v>1</v>
      </c>
      <c r="M591" t="s">
        <v>2599</v>
      </c>
      <c r="P591" t="b">
        <v>0</v>
      </c>
      <c r="R591" t="str">
        <f>"9781498377058"</f>
        <v>9781498377058</v>
      </c>
      <c r="S591" t="str">
        <f>"9781513534046"</f>
        <v>9781513534046</v>
      </c>
    </row>
    <row r="592" spans="1:20" x14ac:dyDescent="0.3">
      <c r="A592">
        <v>1555995</v>
      </c>
      <c r="B592" t="s">
        <v>2692</v>
      </c>
      <c r="D592" t="s">
        <v>2597</v>
      </c>
      <c r="E592" t="s">
        <v>2598</v>
      </c>
      <c r="F592">
        <v>2016</v>
      </c>
      <c r="J592" t="s">
        <v>2693</v>
      </c>
      <c r="K592" t="s">
        <v>25</v>
      </c>
      <c r="L592" t="b">
        <v>1</v>
      </c>
      <c r="M592" t="s">
        <v>2599</v>
      </c>
      <c r="P592" t="b">
        <v>0</v>
      </c>
      <c r="R592" t="str">
        <f>"9781498356268"</f>
        <v>9781498356268</v>
      </c>
      <c r="S592" t="str">
        <f>"9781498398732"</f>
        <v>9781498398732</v>
      </c>
    </row>
    <row r="593" spans="1:20" x14ac:dyDescent="0.3">
      <c r="A593">
        <v>1549954</v>
      </c>
      <c r="B593" t="s">
        <v>2694</v>
      </c>
      <c r="C593" t="s">
        <v>2695</v>
      </c>
      <c r="D593" t="s">
        <v>2450</v>
      </c>
      <c r="E593" t="s">
        <v>2451</v>
      </c>
      <c r="F593">
        <v>2017</v>
      </c>
      <c r="G593" t="s">
        <v>287</v>
      </c>
      <c r="H593" t="s">
        <v>2696</v>
      </c>
      <c r="I593" t="s">
        <v>2697</v>
      </c>
      <c r="J593" t="s">
        <v>24</v>
      </c>
      <c r="K593" t="s">
        <v>25</v>
      </c>
      <c r="L593" t="b">
        <v>1</v>
      </c>
      <c r="M593" t="s">
        <v>2698</v>
      </c>
      <c r="N593" t="str">
        <f>"174"</f>
        <v>174</v>
      </c>
      <c r="O593" t="s">
        <v>2699</v>
      </c>
      <c r="P593" t="b">
        <v>0</v>
      </c>
      <c r="R593" t="str">
        <f>"9783959481908"</f>
        <v>9783959481908</v>
      </c>
      <c r="S593" t="str">
        <f>"9783959488402"</f>
        <v>9783959488402</v>
      </c>
      <c r="T593">
        <v>993581740</v>
      </c>
    </row>
    <row r="594" spans="1:20" x14ac:dyDescent="0.3">
      <c r="A594">
        <v>1549952</v>
      </c>
      <c r="B594" t="s">
        <v>2700</v>
      </c>
      <c r="D594" t="s">
        <v>2450</v>
      </c>
      <c r="E594" t="s">
        <v>2451</v>
      </c>
      <c r="F594">
        <v>2017</v>
      </c>
      <c r="G594" t="s">
        <v>287</v>
      </c>
      <c r="H594" t="s">
        <v>2701</v>
      </c>
      <c r="I594" t="s">
        <v>2702</v>
      </c>
      <c r="J594" t="s">
        <v>2437</v>
      </c>
      <c r="K594" t="s">
        <v>25</v>
      </c>
      <c r="L594" t="b">
        <v>1</v>
      </c>
      <c r="M594" t="s">
        <v>2606</v>
      </c>
      <c r="N594" t="str">
        <f>"230.2"</f>
        <v>230.2</v>
      </c>
      <c r="P594" t="b">
        <v>0</v>
      </c>
      <c r="R594" t="str">
        <f>"9783959482684"</f>
        <v>9783959482684</v>
      </c>
      <c r="S594" t="str">
        <f>"9783959488310"</f>
        <v>9783959488310</v>
      </c>
      <c r="T594">
        <v>993581738</v>
      </c>
    </row>
    <row r="595" spans="1:20" x14ac:dyDescent="0.3">
      <c r="A595">
        <v>1549951</v>
      </c>
      <c r="B595" t="s">
        <v>2703</v>
      </c>
      <c r="D595" t="s">
        <v>2450</v>
      </c>
      <c r="E595" t="s">
        <v>2451</v>
      </c>
      <c r="F595">
        <v>2017</v>
      </c>
      <c r="G595" t="s">
        <v>287</v>
      </c>
      <c r="H595" t="s">
        <v>2704</v>
      </c>
      <c r="J595" t="s">
        <v>24</v>
      </c>
      <c r="K595" t="s">
        <v>25</v>
      </c>
      <c r="L595" t="b">
        <v>1</v>
      </c>
      <c r="M595" t="s">
        <v>2705</v>
      </c>
      <c r="N595" t="str">
        <f>"194"</f>
        <v>194</v>
      </c>
      <c r="O595" t="s">
        <v>2706</v>
      </c>
      <c r="P595" t="b">
        <v>0</v>
      </c>
      <c r="R595" t="str">
        <f>"9783959482578"</f>
        <v>9783959482578</v>
      </c>
      <c r="S595" t="str">
        <f>"9783959488327"</f>
        <v>9783959488327</v>
      </c>
      <c r="T595">
        <v>993581737</v>
      </c>
    </row>
    <row r="596" spans="1:20" x14ac:dyDescent="0.3">
      <c r="A596">
        <v>1549950</v>
      </c>
      <c r="B596" t="s">
        <v>2707</v>
      </c>
      <c r="D596" t="s">
        <v>2450</v>
      </c>
      <c r="E596" t="s">
        <v>2451</v>
      </c>
      <c r="F596">
        <v>2017</v>
      </c>
      <c r="G596" t="s">
        <v>287</v>
      </c>
      <c r="H596" t="s">
        <v>2708</v>
      </c>
      <c r="I596" t="s">
        <v>2709</v>
      </c>
      <c r="J596" t="s">
        <v>2437</v>
      </c>
      <c r="K596" t="s">
        <v>25</v>
      </c>
      <c r="L596" t="b">
        <v>1</v>
      </c>
      <c r="M596" t="s">
        <v>2710</v>
      </c>
      <c r="N596" t="str">
        <f>"891.5511"</f>
        <v>891.5511</v>
      </c>
      <c r="O596" t="s">
        <v>2711</v>
      </c>
      <c r="P596" t="b">
        <v>0</v>
      </c>
      <c r="R596" t="str">
        <f>"9783959482479"</f>
        <v>9783959482479</v>
      </c>
      <c r="S596" t="str">
        <f>"9783959488334"</f>
        <v>9783959488334</v>
      </c>
      <c r="T596">
        <v>993581736</v>
      </c>
    </row>
    <row r="597" spans="1:20" x14ac:dyDescent="0.3">
      <c r="A597">
        <v>1549949</v>
      </c>
      <c r="B597" t="s">
        <v>2712</v>
      </c>
      <c r="D597" t="s">
        <v>2450</v>
      </c>
      <c r="E597" t="s">
        <v>2451</v>
      </c>
      <c r="F597">
        <v>2017</v>
      </c>
      <c r="G597" t="s">
        <v>97</v>
      </c>
      <c r="H597" t="s">
        <v>2713</v>
      </c>
      <c r="I597" t="s">
        <v>2714</v>
      </c>
      <c r="J597" t="s">
        <v>2437</v>
      </c>
      <c r="K597" t="s">
        <v>25</v>
      </c>
      <c r="L597" t="b">
        <v>1</v>
      </c>
      <c r="M597" t="s">
        <v>2715</v>
      </c>
      <c r="N597" t="str">
        <f>"268"</f>
        <v>268</v>
      </c>
      <c r="O597" t="s">
        <v>2716</v>
      </c>
      <c r="P597" t="b">
        <v>0</v>
      </c>
      <c r="R597" t="str">
        <f>"9783959482660"</f>
        <v>9783959482660</v>
      </c>
      <c r="S597" t="str">
        <f>"9783959488341"</f>
        <v>9783959488341</v>
      </c>
      <c r="T597">
        <v>993581735</v>
      </c>
    </row>
    <row r="598" spans="1:20" x14ac:dyDescent="0.3">
      <c r="A598">
        <v>1549948</v>
      </c>
      <c r="B598" t="s">
        <v>2717</v>
      </c>
      <c r="C598" t="s">
        <v>2718</v>
      </c>
      <c r="D598" t="s">
        <v>2450</v>
      </c>
      <c r="E598" t="s">
        <v>2451</v>
      </c>
      <c r="F598">
        <v>2017</v>
      </c>
      <c r="G598" t="s">
        <v>287</v>
      </c>
      <c r="H598" t="s">
        <v>2719</v>
      </c>
      <c r="I598" t="s">
        <v>2720</v>
      </c>
      <c r="J598" t="s">
        <v>2437</v>
      </c>
      <c r="K598" t="s">
        <v>25</v>
      </c>
      <c r="L598" t="b">
        <v>1</v>
      </c>
      <c r="M598" t="s">
        <v>2721</v>
      </c>
      <c r="N598" t="str">
        <f>"838.02"</f>
        <v>838.02</v>
      </c>
      <c r="P598" t="b">
        <v>0</v>
      </c>
      <c r="R598" t="str">
        <f>"9783959482615"</f>
        <v>9783959482615</v>
      </c>
      <c r="S598" t="str">
        <f>"9783959488358"</f>
        <v>9783959488358</v>
      </c>
      <c r="T598">
        <v>993581734</v>
      </c>
    </row>
    <row r="599" spans="1:20" x14ac:dyDescent="0.3">
      <c r="A599">
        <v>1549947</v>
      </c>
      <c r="B599" t="s">
        <v>2722</v>
      </c>
      <c r="C599" t="s">
        <v>2723</v>
      </c>
      <c r="D599" t="s">
        <v>2450</v>
      </c>
      <c r="E599" t="s">
        <v>2451</v>
      </c>
      <c r="F599">
        <v>2017</v>
      </c>
      <c r="G599" t="s">
        <v>287</v>
      </c>
      <c r="H599" t="s">
        <v>2724</v>
      </c>
      <c r="I599" t="s">
        <v>2725</v>
      </c>
      <c r="J599" t="s">
        <v>2437</v>
      </c>
      <c r="K599" t="s">
        <v>25</v>
      </c>
      <c r="L599" t="b">
        <v>1</v>
      </c>
      <c r="M599" t="s">
        <v>2726</v>
      </c>
      <c r="N599" t="str">
        <f>"398.21"</f>
        <v>398.21</v>
      </c>
      <c r="P599" t="b">
        <v>0</v>
      </c>
      <c r="R599" t="str">
        <f>"9783959482219"</f>
        <v>9783959482219</v>
      </c>
      <c r="S599" t="str">
        <f>"9783959488372"</f>
        <v>9783959488372</v>
      </c>
      <c r="T599">
        <v>993581733</v>
      </c>
    </row>
    <row r="600" spans="1:20" x14ac:dyDescent="0.3">
      <c r="A600">
        <v>1549945</v>
      </c>
      <c r="B600" t="s">
        <v>2727</v>
      </c>
      <c r="C600" t="s">
        <v>2728</v>
      </c>
      <c r="D600" t="s">
        <v>2450</v>
      </c>
      <c r="E600" t="s">
        <v>2451</v>
      </c>
      <c r="F600">
        <v>2016</v>
      </c>
      <c r="G600" t="s">
        <v>60</v>
      </c>
      <c r="H600" t="s">
        <v>2729</v>
      </c>
      <c r="I600" t="s">
        <v>2730</v>
      </c>
      <c r="J600" t="s">
        <v>2437</v>
      </c>
      <c r="K600" t="s">
        <v>25</v>
      </c>
      <c r="L600" t="b">
        <v>1</v>
      </c>
      <c r="M600" t="s">
        <v>2731</v>
      </c>
      <c r="N600" t="str">
        <f>"294.5/92204521"</f>
        <v>294.5/92204521</v>
      </c>
      <c r="O600" t="s">
        <v>2732</v>
      </c>
      <c r="P600" t="b">
        <v>0</v>
      </c>
      <c r="R600" t="str">
        <f>"9783959482127"</f>
        <v>9783959482127</v>
      </c>
      <c r="S600" t="str">
        <f>"9783959488396"</f>
        <v>9783959488396</v>
      </c>
      <c r="T600">
        <v>993581726</v>
      </c>
    </row>
    <row r="601" spans="1:20" x14ac:dyDescent="0.3">
      <c r="A601">
        <v>1548559</v>
      </c>
      <c r="B601" t="s">
        <v>2733</v>
      </c>
      <c r="D601" t="s">
        <v>2547</v>
      </c>
      <c r="E601" t="s">
        <v>2548</v>
      </c>
      <c r="F601">
        <v>2017</v>
      </c>
      <c r="G601" t="s">
        <v>1468</v>
      </c>
      <c r="H601" t="s">
        <v>2734</v>
      </c>
      <c r="I601" t="s">
        <v>2735</v>
      </c>
      <c r="J601" t="s">
        <v>596</v>
      </c>
      <c r="K601" t="s">
        <v>55</v>
      </c>
      <c r="L601" t="b">
        <v>1</v>
      </c>
      <c r="M601" t="s">
        <v>2736</v>
      </c>
      <c r="N601" t="str">
        <f>"344"</f>
        <v>344</v>
      </c>
      <c r="P601" t="b">
        <v>0</v>
      </c>
      <c r="Q601" t="b">
        <v>0</v>
      </c>
      <c r="S601" t="str">
        <f>"9788892167155"</f>
        <v>9788892167155</v>
      </c>
      <c r="T601">
        <v>993109361</v>
      </c>
    </row>
    <row r="602" spans="1:20" x14ac:dyDescent="0.3">
      <c r="A602">
        <v>1547656</v>
      </c>
      <c r="B602" t="s">
        <v>2737</v>
      </c>
      <c r="D602" t="s">
        <v>45</v>
      </c>
      <c r="E602" t="s">
        <v>318</v>
      </c>
      <c r="F602">
        <v>2016</v>
      </c>
      <c r="G602" t="s">
        <v>60</v>
      </c>
      <c r="J602" t="s">
        <v>2437</v>
      </c>
      <c r="K602" t="s">
        <v>25</v>
      </c>
      <c r="L602" t="b">
        <v>1</v>
      </c>
      <c r="M602" t="s">
        <v>2738</v>
      </c>
      <c r="O602" t="s">
        <v>2739</v>
      </c>
      <c r="P602" t="b">
        <v>0</v>
      </c>
      <c r="R602" t="str">
        <f>"9783486712988"</f>
        <v>9783486712988</v>
      </c>
      <c r="S602" t="str">
        <f>"9783486854701"</f>
        <v>9783486854701</v>
      </c>
    </row>
    <row r="603" spans="1:20" x14ac:dyDescent="0.3">
      <c r="A603">
        <v>1547655</v>
      </c>
      <c r="B603" t="s">
        <v>2740</v>
      </c>
      <c r="C603" t="s">
        <v>2741</v>
      </c>
      <c r="D603" t="s">
        <v>45</v>
      </c>
      <c r="E603" t="s">
        <v>45</v>
      </c>
      <c r="F603">
        <v>2016</v>
      </c>
      <c r="G603" t="s">
        <v>314</v>
      </c>
      <c r="J603" t="s">
        <v>2437</v>
      </c>
      <c r="K603" t="s">
        <v>25</v>
      </c>
      <c r="L603" t="b">
        <v>1</v>
      </c>
      <c r="M603" t="s">
        <v>2742</v>
      </c>
      <c r="O603" t="s">
        <v>2743</v>
      </c>
      <c r="P603" t="b">
        <v>0</v>
      </c>
      <c r="R603" t="str">
        <f>"9783050057040"</f>
        <v>9783050057040</v>
      </c>
      <c r="S603" t="str">
        <f>"9783050058993"</f>
        <v>9783050058993</v>
      </c>
    </row>
    <row r="604" spans="1:20" x14ac:dyDescent="0.3">
      <c r="A604">
        <v>1547654</v>
      </c>
      <c r="B604" t="s">
        <v>2744</v>
      </c>
      <c r="C604" t="s">
        <v>2745</v>
      </c>
      <c r="D604" t="s">
        <v>45</v>
      </c>
      <c r="E604" t="s">
        <v>45</v>
      </c>
      <c r="F604">
        <v>2016</v>
      </c>
      <c r="G604" t="s">
        <v>60</v>
      </c>
      <c r="J604" t="s">
        <v>2437</v>
      </c>
      <c r="K604" t="s">
        <v>25</v>
      </c>
      <c r="L604" t="b">
        <v>1</v>
      </c>
      <c r="M604" t="s">
        <v>2746</v>
      </c>
      <c r="P604" t="b">
        <v>0</v>
      </c>
      <c r="R604" t="str">
        <f>"9783050045252"</f>
        <v>9783050045252</v>
      </c>
      <c r="S604" t="str">
        <f>"9783050088013"</f>
        <v>9783050088013</v>
      </c>
    </row>
    <row r="605" spans="1:20" x14ac:dyDescent="0.3">
      <c r="A605">
        <v>1547653</v>
      </c>
      <c r="B605" t="s">
        <v>2747</v>
      </c>
      <c r="C605" t="s">
        <v>2748</v>
      </c>
      <c r="D605" t="s">
        <v>45</v>
      </c>
      <c r="E605" t="s">
        <v>318</v>
      </c>
      <c r="F605">
        <v>2016</v>
      </c>
      <c r="G605" t="s">
        <v>60</v>
      </c>
      <c r="J605" t="s">
        <v>2437</v>
      </c>
      <c r="K605" t="s">
        <v>25</v>
      </c>
      <c r="L605" t="b">
        <v>1</v>
      </c>
      <c r="M605" t="s">
        <v>2749</v>
      </c>
      <c r="O605" t="s">
        <v>2750</v>
      </c>
      <c r="P605" t="b">
        <v>0</v>
      </c>
      <c r="R605" t="str">
        <f>"9783486575903"</f>
        <v>9783486575903</v>
      </c>
      <c r="S605" t="str">
        <f>"9783486835922"</f>
        <v>9783486835922</v>
      </c>
    </row>
    <row r="606" spans="1:20" x14ac:dyDescent="0.3">
      <c r="A606">
        <v>1547652</v>
      </c>
      <c r="B606" t="s">
        <v>2751</v>
      </c>
      <c r="C606" t="s">
        <v>2752</v>
      </c>
      <c r="D606" t="s">
        <v>45</v>
      </c>
      <c r="E606" t="s">
        <v>318</v>
      </c>
      <c r="F606">
        <v>2016</v>
      </c>
      <c r="G606" t="s">
        <v>1221</v>
      </c>
      <c r="J606" t="s">
        <v>2437</v>
      </c>
      <c r="K606" t="s">
        <v>25</v>
      </c>
      <c r="L606" t="b">
        <v>1</v>
      </c>
      <c r="M606" t="s">
        <v>2753</v>
      </c>
      <c r="O606" t="s">
        <v>2754</v>
      </c>
      <c r="P606" t="b">
        <v>0</v>
      </c>
      <c r="R606" t="str">
        <f>"9783486706598"</f>
        <v>9783486706598</v>
      </c>
      <c r="S606" t="str">
        <f>"9783486713459"</f>
        <v>9783486713459</v>
      </c>
    </row>
    <row r="607" spans="1:20" x14ac:dyDescent="0.3">
      <c r="A607">
        <v>1547651</v>
      </c>
      <c r="B607" t="s">
        <v>2755</v>
      </c>
      <c r="C607" t="s">
        <v>2756</v>
      </c>
      <c r="D607" t="s">
        <v>45</v>
      </c>
      <c r="E607" t="s">
        <v>318</v>
      </c>
      <c r="F607">
        <v>2016</v>
      </c>
      <c r="G607" t="s">
        <v>249</v>
      </c>
      <c r="J607" t="s">
        <v>2437</v>
      </c>
      <c r="K607" t="s">
        <v>25</v>
      </c>
      <c r="L607" t="b">
        <v>1</v>
      </c>
      <c r="M607" t="s">
        <v>2757</v>
      </c>
      <c r="P607" t="b">
        <v>0</v>
      </c>
      <c r="R607" t="str">
        <f>"9783486597141"</f>
        <v>9783486597141</v>
      </c>
      <c r="S607" t="str">
        <f>"9783486852769"</f>
        <v>9783486852769</v>
      </c>
    </row>
    <row r="608" spans="1:20" x14ac:dyDescent="0.3">
      <c r="A608">
        <v>1547650</v>
      </c>
      <c r="B608" t="s">
        <v>2758</v>
      </c>
      <c r="C608" t="s">
        <v>2759</v>
      </c>
      <c r="D608" t="s">
        <v>45</v>
      </c>
      <c r="E608" t="s">
        <v>45</v>
      </c>
      <c r="F608">
        <v>2016</v>
      </c>
      <c r="G608" t="s">
        <v>314</v>
      </c>
      <c r="J608" t="s">
        <v>2437</v>
      </c>
      <c r="K608" t="s">
        <v>25</v>
      </c>
      <c r="L608" t="b">
        <v>1</v>
      </c>
      <c r="M608" t="s">
        <v>2760</v>
      </c>
      <c r="O608" t="s">
        <v>2743</v>
      </c>
      <c r="P608" t="b">
        <v>0</v>
      </c>
      <c r="R608" t="str">
        <f>"9783050057057"</f>
        <v>9783050057057</v>
      </c>
      <c r="S608" t="str">
        <f>"9783050058986"</f>
        <v>9783050058986</v>
      </c>
    </row>
    <row r="609" spans="1:20" x14ac:dyDescent="0.3">
      <c r="A609">
        <v>1547207</v>
      </c>
      <c r="B609" t="s">
        <v>2761</v>
      </c>
      <c r="C609" t="s">
        <v>2762</v>
      </c>
      <c r="D609" t="s">
        <v>2432</v>
      </c>
      <c r="E609" t="s">
        <v>2433</v>
      </c>
      <c r="F609">
        <v>2017</v>
      </c>
      <c r="G609" t="s">
        <v>2763</v>
      </c>
      <c r="H609" t="s">
        <v>2764</v>
      </c>
      <c r="I609" t="s">
        <v>2765</v>
      </c>
      <c r="J609" t="s">
        <v>2437</v>
      </c>
      <c r="K609" t="s">
        <v>25</v>
      </c>
      <c r="L609" t="b">
        <v>1</v>
      </c>
      <c r="M609" t="s">
        <v>2766</v>
      </c>
      <c r="N609" t="str">
        <f>"333.7940943"</f>
        <v>333.7940943</v>
      </c>
      <c r="O609" t="s">
        <v>2767</v>
      </c>
      <c r="P609" t="b">
        <v>0</v>
      </c>
      <c r="R609" t="str">
        <f>"9783737602648"</f>
        <v>9783737602648</v>
      </c>
      <c r="S609" t="str">
        <f>"9783737602655"</f>
        <v>9783737602655</v>
      </c>
      <c r="T609">
        <v>992988959</v>
      </c>
    </row>
    <row r="610" spans="1:20" x14ac:dyDescent="0.3">
      <c r="A610">
        <v>1547206</v>
      </c>
      <c r="B610" t="s">
        <v>2768</v>
      </c>
      <c r="C610" t="s">
        <v>2769</v>
      </c>
      <c r="D610" t="s">
        <v>2432</v>
      </c>
      <c r="E610" t="s">
        <v>2433</v>
      </c>
      <c r="F610">
        <v>2017</v>
      </c>
      <c r="G610" t="s">
        <v>851</v>
      </c>
      <c r="H610" t="s">
        <v>2770</v>
      </c>
      <c r="I610" t="s">
        <v>2771</v>
      </c>
      <c r="J610" t="s">
        <v>2437</v>
      </c>
      <c r="K610" t="s">
        <v>25</v>
      </c>
      <c r="L610" t="b">
        <v>1</v>
      </c>
      <c r="M610" t="s">
        <v>2772</v>
      </c>
      <c r="N610" t="str">
        <f>"305.26"</f>
        <v>305.26</v>
      </c>
      <c r="O610" t="s">
        <v>2773</v>
      </c>
      <c r="P610" t="b">
        <v>0</v>
      </c>
      <c r="R610" t="str">
        <f>"9783737603102"</f>
        <v>9783737603102</v>
      </c>
      <c r="S610" t="str">
        <f>"9783737603119"</f>
        <v>9783737603119</v>
      </c>
      <c r="T610">
        <v>992988958</v>
      </c>
    </row>
    <row r="611" spans="1:20" x14ac:dyDescent="0.3">
      <c r="A611">
        <v>1547205</v>
      </c>
      <c r="B611" t="s">
        <v>2774</v>
      </c>
      <c r="C611" t="s">
        <v>2775</v>
      </c>
      <c r="D611" t="s">
        <v>2432</v>
      </c>
      <c r="E611" t="s">
        <v>2433</v>
      </c>
      <c r="F611">
        <v>2017</v>
      </c>
      <c r="G611" t="s">
        <v>870</v>
      </c>
      <c r="H611" t="s">
        <v>2776</v>
      </c>
      <c r="I611" t="s">
        <v>2777</v>
      </c>
      <c r="J611" t="s">
        <v>2437</v>
      </c>
      <c r="K611" t="s">
        <v>25</v>
      </c>
      <c r="L611" t="b">
        <v>1</v>
      </c>
      <c r="M611" t="s">
        <v>2778</v>
      </c>
      <c r="N611" t="str">
        <f>"943.05"</f>
        <v>943.05</v>
      </c>
      <c r="O611" t="s">
        <v>2779</v>
      </c>
      <c r="P611" t="b">
        <v>0</v>
      </c>
      <c r="R611" t="str">
        <f>"9783737603225"</f>
        <v>9783737603225</v>
      </c>
      <c r="S611" t="str">
        <f>"9783737603232"</f>
        <v>9783737603232</v>
      </c>
      <c r="T611">
        <v>992988950</v>
      </c>
    </row>
    <row r="612" spans="1:20" x14ac:dyDescent="0.3">
      <c r="A612">
        <v>1547204</v>
      </c>
      <c r="B612" t="s">
        <v>2780</v>
      </c>
      <c r="D612" t="s">
        <v>2432</v>
      </c>
      <c r="E612" t="s">
        <v>2433</v>
      </c>
      <c r="F612">
        <v>2017</v>
      </c>
      <c r="G612" t="s">
        <v>2781</v>
      </c>
      <c r="H612" t="s">
        <v>2782</v>
      </c>
      <c r="I612" t="s">
        <v>2783</v>
      </c>
      <c r="J612" t="s">
        <v>2437</v>
      </c>
      <c r="K612" t="s">
        <v>25</v>
      </c>
      <c r="L612" t="b">
        <v>1</v>
      </c>
      <c r="M612" t="s">
        <v>2784</v>
      </c>
      <c r="N612" t="str">
        <f>"673.7220286"</f>
        <v>673.7220286</v>
      </c>
      <c r="O612" t="s">
        <v>2767</v>
      </c>
      <c r="P612" t="b">
        <v>0</v>
      </c>
      <c r="R612" t="str">
        <f>"9783737603263"</f>
        <v>9783737603263</v>
      </c>
      <c r="S612" t="str">
        <f>"9783737603270"</f>
        <v>9783737603270</v>
      </c>
      <c r="T612">
        <v>992988949</v>
      </c>
    </row>
    <row r="613" spans="1:20" x14ac:dyDescent="0.3">
      <c r="A613">
        <v>1543674</v>
      </c>
      <c r="B613" t="s">
        <v>2785</v>
      </c>
      <c r="C613" t="s">
        <v>2786</v>
      </c>
      <c r="D613" t="s">
        <v>2442</v>
      </c>
      <c r="E613" t="s">
        <v>2443</v>
      </c>
      <c r="F613">
        <v>2017</v>
      </c>
      <c r="G613" t="s">
        <v>2444</v>
      </c>
      <c r="H613" t="s">
        <v>2787</v>
      </c>
      <c r="I613" t="s">
        <v>2788</v>
      </c>
      <c r="J613" t="s">
        <v>2437</v>
      </c>
      <c r="K613" t="s">
        <v>269</v>
      </c>
      <c r="L613" t="b">
        <v>1</v>
      </c>
      <c r="M613" t="s">
        <v>2789</v>
      </c>
      <c r="N613" t="str">
        <f>"610.73"</f>
        <v>610.73</v>
      </c>
      <c r="O613" t="s">
        <v>2790</v>
      </c>
      <c r="P613" t="b">
        <v>0</v>
      </c>
      <c r="R613" t="str">
        <f>"9783899933987"</f>
        <v>9783899933987</v>
      </c>
      <c r="S613" t="str">
        <f>"9783842689107"</f>
        <v>9783842689107</v>
      </c>
      <c r="T613">
        <v>1015372244</v>
      </c>
    </row>
    <row r="614" spans="1:20" x14ac:dyDescent="0.3">
      <c r="A614">
        <v>1543335</v>
      </c>
      <c r="B614" t="s">
        <v>2791</v>
      </c>
      <c r="D614" t="s">
        <v>849</v>
      </c>
      <c r="E614" t="s">
        <v>850</v>
      </c>
      <c r="F614">
        <v>2016</v>
      </c>
      <c r="G614" t="s">
        <v>2792</v>
      </c>
      <c r="H614" t="s">
        <v>2793</v>
      </c>
      <c r="I614" t="s">
        <v>2794</v>
      </c>
      <c r="J614" t="s">
        <v>854</v>
      </c>
      <c r="K614" t="s">
        <v>25</v>
      </c>
      <c r="L614" t="b">
        <v>1</v>
      </c>
      <c r="M614" t="s">
        <v>2795</v>
      </c>
      <c r="N614" t="str">
        <f>"891.86"</f>
        <v>891.86</v>
      </c>
      <c r="P614" t="b">
        <v>1</v>
      </c>
      <c r="Q614" t="b">
        <v>0</v>
      </c>
      <c r="R614" t="str">
        <f>"9788021083202"</f>
        <v>9788021083202</v>
      </c>
      <c r="S614" t="str">
        <f>"9788021085756"</f>
        <v>9788021085756</v>
      </c>
      <c r="T614">
        <v>992167532</v>
      </c>
    </row>
    <row r="615" spans="1:20" x14ac:dyDescent="0.3">
      <c r="A615">
        <v>1543334</v>
      </c>
      <c r="B615" t="s">
        <v>2796</v>
      </c>
      <c r="C615" t="s">
        <v>2797</v>
      </c>
      <c r="D615" t="s">
        <v>849</v>
      </c>
      <c r="E615" t="s">
        <v>850</v>
      </c>
      <c r="F615">
        <v>2017</v>
      </c>
      <c r="G615" t="s">
        <v>2798</v>
      </c>
      <c r="H615" t="s">
        <v>2799</v>
      </c>
      <c r="I615" t="s">
        <v>2800</v>
      </c>
      <c r="J615" t="s">
        <v>854</v>
      </c>
      <c r="K615" t="s">
        <v>25</v>
      </c>
      <c r="L615" t="b">
        <v>1</v>
      </c>
      <c r="M615" t="s">
        <v>2801</v>
      </c>
      <c r="N615" t="str">
        <f>"320.941"</f>
        <v>320.941</v>
      </c>
      <c r="P615" t="b">
        <v>0</v>
      </c>
      <c r="Q615" t="b">
        <v>0</v>
      </c>
      <c r="R615" t="str">
        <f>"9788021085060"</f>
        <v>9788021085060</v>
      </c>
      <c r="S615" t="str">
        <f>"9788021085404"</f>
        <v>9788021085404</v>
      </c>
      <c r="T615">
        <v>992167531</v>
      </c>
    </row>
    <row r="616" spans="1:20" x14ac:dyDescent="0.3">
      <c r="A616">
        <v>1543333</v>
      </c>
      <c r="B616" t="s">
        <v>2802</v>
      </c>
      <c r="C616" t="s">
        <v>2803</v>
      </c>
      <c r="D616" t="s">
        <v>849</v>
      </c>
      <c r="E616" t="s">
        <v>850</v>
      </c>
      <c r="F616">
        <v>2016</v>
      </c>
      <c r="G616" t="s">
        <v>1391</v>
      </c>
      <c r="H616" t="s">
        <v>2804</v>
      </c>
      <c r="I616" t="s">
        <v>2805</v>
      </c>
      <c r="J616" t="s">
        <v>854</v>
      </c>
      <c r="K616" t="s">
        <v>25</v>
      </c>
      <c r="L616" t="b">
        <v>1</v>
      </c>
      <c r="M616" t="s">
        <v>2806</v>
      </c>
      <c r="N616" t="str">
        <f>"338.927"</f>
        <v>338.927</v>
      </c>
      <c r="P616" t="b">
        <v>0</v>
      </c>
      <c r="Q616" t="b">
        <v>0</v>
      </c>
      <c r="R616" t="str">
        <f>"9788021084544"</f>
        <v>9788021084544</v>
      </c>
      <c r="S616" t="str">
        <f>"9788021086036"</f>
        <v>9788021086036</v>
      </c>
      <c r="T616">
        <v>995049548</v>
      </c>
    </row>
    <row r="617" spans="1:20" x14ac:dyDescent="0.3">
      <c r="A617">
        <v>1543332</v>
      </c>
      <c r="B617" t="s">
        <v>2802</v>
      </c>
      <c r="C617" t="s">
        <v>2803</v>
      </c>
      <c r="D617" t="s">
        <v>849</v>
      </c>
      <c r="E617" t="s">
        <v>850</v>
      </c>
      <c r="F617">
        <v>2016</v>
      </c>
      <c r="G617" t="s">
        <v>1391</v>
      </c>
      <c r="H617" t="s">
        <v>2804</v>
      </c>
      <c r="I617" t="s">
        <v>2805</v>
      </c>
      <c r="J617" t="s">
        <v>854</v>
      </c>
      <c r="K617" t="s">
        <v>25</v>
      </c>
      <c r="L617" t="b">
        <v>1</v>
      </c>
      <c r="M617" t="s">
        <v>2807</v>
      </c>
      <c r="N617" t="str">
        <f>"338.927"</f>
        <v>338.927</v>
      </c>
      <c r="P617" t="b">
        <v>0</v>
      </c>
      <c r="Q617" t="b">
        <v>0</v>
      </c>
      <c r="R617" t="str">
        <f>"9788021084124"</f>
        <v>9788021084124</v>
      </c>
      <c r="S617" t="str">
        <f>"9788021086012"</f>
        <v>9788021086012</v>
      </c>
      <c r="T617">
        <v>992119296</v>
      </c>
    </row>
    <row r="618" spans="1:20" x14ac:dyDescent="0.3">
      <c r="A618">
        <v>1543331</v>
      </c>
      <c r="B618" t="s">
        <v>2808</v>
      </c>
      <c r="D618" t="s">
        <v>849</v>
      </c>
      <c r="E618" t="s">
        <v>850</v>
      </c>
      <c r="F618">
        <v>2016</v>
      </c>
      <c r="G618" t="s">
        <v>2671</v>
      </c>
      <c r="H618" t="s">
        <v>2809</v>
      </c>
      <c r="I618" t="s">
        <v>2810</v>
      </c>
      <c r="J618" t="s">
        <v>854</v>
      </c>
      <c r="K618" t="s">
        <v>25</v>
      </c>
      <c r="L618" t="b">
        <v>1</v>
      </c>
      <c r="M618" t="s">
        <v>2811</v>
      </c>
      <c r="N618" t="str">
        <f>"617.952"</f>
        <v>617.952</v>
      </c>
      <c r="P618" t="b">
        <v>0</v>
      </c>
      <c r="Q618" t="b">
        <v>0</v>
      </c>
      <c r="R618" t="str">
        <f>"9788021073388"</f>
        <v>9788021073388</v>
      </c>
      <c r="S618" t="str">
        <f>"9788021083196"</f>
        <v>9788021083196</v>
      </c>
      <c r="T618">
        <v>992119295</v>
      </c>
    </row>
    <row r="619" spans="1:20" x14ac:dyDescent="0.3">
      <c r="A619">
        <v>1543328</v>
      </c>
      <c r="B619" t="s">
        <v>2812</v>
      </c>
      <c r="D619" t="s">
        <v>849</v>
      </c>
      <c r="E619" t="s">
        <v>850</v>
      </c>
      <c r="F619">
        <v>2017</v>
      </c>
      <c r="G619" t="s">
        <v>2813</v>
      </c>
      <c r="H619" t="s">
        <v>2814</v>
      </c>
      <c r="I619" t="s">
        <v>2815</v>
      </c>
      <c r="J619" t="s">
        <v>24</v>
      </c>
      <c r="K619" t="s">
        <v>25</v>
      </c>
      <c r="L619" t="b">
        <v>1</v>
      </c>
      <c r="M619" t="s">
        <v>2816</v>
      </c>
      <c r="N619" t="str">
        <f>"616.99/4"</f>
        <v>616.99/4</v>
      </c>
      <c r="P619" t="b">
        <v>0</v>
      </c>
      <c r="Q619" t="b">
        <v>0</v>
      </c>
      <c r="R619" t="str">
        <f>"9788021077614"</f>
        <v>9788021077614</v>
      </c>
      <c r="S619" t="str">
        <f>"9788021085992"</f>
        <v>9788021085992</v>
      </c>
      <c r="T619">
        <v>992167529</v>
      </c>
    </row>
    <row r="620" spans="1:20" x14ac:dyDescent="0.3">
      <c r="A620">
        <v>1542689</v>
      </c>
      <c r="B620" t="s">
        <v>2817</v>
      </c>
      <c r="C620" t="s">
        <v>2818</v>
      </c>
      <c r="D620" t="s">
        <v>2819</v>
      </c>
      <c r="E620" t="s">
        <v>2820</v>
      </c>
      <c r="F620">
        <v>2016</v>
      </c>
      <c r="G620" t="s">
        <v>2821</v>
      </c>
      <c r="H620" t="s">
        <v>2822</v>
      </c>
      <c r="I620" t="s">
        <v>2823</v>
      </c>
      <c r="J620" t="s">
        <v>596</v>
      </c>
      <c r="K620" t="s">
        <v>269</v>
      </c>
      <c r="L620" t="b">
        <v>1</v>
      </c>
      <c r="M620" t="s">
        <v>2824</v>
      </c>
      <c r="N620" t="str">
        <f>"270"</f>
        <v>270</v>
      </c>
      <c r="O620" t="s">
        <v>2825</v>
      </c>
      <c r="P620" t="b">
        <v>0</v>
      </c>
      <c r="Q620" t="b">
        <v>0</v>
      </c>
      <c r="R620" t="str">
        <f>"9788874705283"</f>
        <v>9788874705283</v>
      </c>
      <c r="S620" t="str">
        <f>"9788874705290"</f>
        <v>9788874705290</v>
      </c>
      <c r="T620">
        <v>981171706</v>
      </c>
    </row>
    <row r="621" spans="1:20" x14ac:dyDescent="0.3">
      <c r="A621">
        <v>1542681</v>
      </c>
      <c r="B621" t="s">
        <v>2826</v>
      </c>
      <c r="C621" t="s">
        <v>2827</v>
      </c>
      <c r="D621" t="s">
        <v>2819</v>
      </c>
      <c r="E621" t="s">
        <v>2820</v>
      </c>
      <c r="F621">
        <v>2016</v>
      </c>
      <c r="G621" t="s">
        <v>899</v>
      </c>
      <c r="H621" t="s">
        <v>2828</v>
      </c>
      <c r="I621" t="s">
        <v>2829</v>
      </c>
      <c r="J621" t="s">
        <v>596</v>
      </c>
      <c r="K621" t="s">
        <v>269</v>
      </c>
      <c r="L621" t="b">
        <v>1</v>
      </c>
      <c r="M621" t="s">
        <v>2830</v>
      </c>
      <c r="N621" t="str">
        <f>"792.02/8092;B"</f>
        <v>792.02/8092;B</v>
      </c>
      <c r="O621" t="s">
        <v>2831</v>
      </c>
      <c r="P621" t="b">
        <v>0</v>
      </c>
      <c r="Q621" t="b">
        <v>0</v>
      </c>
      <c r="R621" t="str">
        <f>"9788874705108"</f>
        <v>9788874705108</v>
      </c>
      <c r="S621" t="str">
        <f>"9788874705115"</f>
        <v>9788874705115</v>
      </c>
      <c r="T621">
        <v>950888634</v>
      </c>
    </row>
    <row r="622" spans="1:20" x14ac:dyDescent="0.3">
      <c r="A622">
        <v>1541329</v>
      </c>
      <c r="B622" t="s">
        <v>2832</v>
      </c>
      <c r="D622" t="s">
        <v>2648</v>
      </c>
      <c r="E622" t="s">
        <v>2649</v>
      </c>
      <c r="F622">
        <v>2017</v>
      </c>
      <c r="G622" t="s">
        <v>340</v>
      </c>
      <c r="H622" t="s">
        <v>2833</v>
      </c>
      <c r="I622" t="s">
        <v>2834</v>
      </c>
      <c r="J622" t="s">
        <v>24</v>
      </c>
      <c r="K622" t="s">
        <v>25</v>
      </c>
      <c r="L622" t="b">
        <v>1</v>
      </c>
      <c r="M622" t="s">
        <v>2835</v>
      </c>
      <c r="N622" t="str">
        <f>"006.6869"</f>
        <v>006.6869</v>
      </c>
      <c r="O622" t="s">
        <v>2836</v>
      </c>
      <c r="P622" t="b">
        <v>0</v>
      </c>
      <c r="R622" t="str">
        <f>"9783958456259"</f>
        <v>9783958456259</v>
      </c>
      <c r="S622" t="str">
        <f>"9783958456266"</f>
        <v>9783958456266</v>
      </c>
      <c r="T622">
        <v>992119273</v>
      </c>
    </row>
    <row r="623" spans="1:20" x14ac:dyDescent="0.3">
      <c r="A623">
        <v>1541280</v>
      </c>
      <c r="B623" t="s">
        <v>2837</v>
      </c>
      <c r="C623" t="s">
        <v>2838</v>
      </c>
      <c r="D623" t="s">
        <v>2839</v>
      </c>
      <c r="E623" t="s">
        <v>2840</v>
      </c>
      <c r="F623">
        <v>2017</v>
      </c>
      <c r="G623" t="s">
        <v>2841</v>
      </c>
      <c r="H623" t="s">
        <v>2842</v>
      </c>
      <c r="I623" t="s">
        <v>2843</v>
      </c>
      <c r="J623" t="s">
        <v>24</v>
      </c>
      <c r="K623" t="s">
        <v>55</v>
      </c>
      <c r="L623" t="b">
        <v>1</v>
      </c>
      <c r="M623" t="s">
        <v>2844</v>
      </c>
      <c r="N623" t="str">
        <f>"261.57"</f>
        <v>261.57</v>
      </c>
      <c r="P623" t="b">
        <v>0</v>
      </c>
      <c r="Q623" t="b">
        <v>0</v>
      </c>
      <c r="R623" t="str">
        <f>"9781498217330"</f>
        <v>9781498217330</v>
      </c>
      <c r="S623" t="str">
        <f>"9781498217347"</f>
        <v>9781498217347</v>
      </c>
      <c r="T623">
        <v>993756970</v>
      </c>
    </row>
    <row r="624" spans="1:20" x14ac:dyDescent="0.3">
      <c r="A624">
        <v>1540129</v>
      </c>
      <c r="B624" t="s">
        <v>2845</v>
      </c>
      <c r="C624" t="s">
        <v>2846</v>
      </c>
      <c r="D624" t="s">
        <v>1482</v>
      </c>
      <c r="E624" t="s">
        <v>1482</v>
      </c>
      <c r="F624">
        <v>2017</v>
      </c>
      <c r="G624" t="s">
        <v>2847</v>
      </c>
      <c r="H624" t="s">
        <v>2848</v>
      </c>
      <c r="I624" t="s">
        <v>2849</v>
      </c>
      <c r="J624" t="s">
        <v>24</v>
      </c>
      <c r="K624" t="s">
        <v>25</v>
      </c>
      <c r="L624" t="b">
        <v>1</v>
      </c>
      <c r="M624" t="s">
        <v>2850</v>
      </c>
      <c r="N624" t="str">
        <f>"614.54609883"</f>
        <v>614.54609883</v>
      </c>
      <c r="O624" t="s">
        <v>2851</v>
      </c>
      <c r="P624" t="b">
        <v>0</v>
      </c>
      <c r="R624" t="str">
        <f>"9781526112996"</f>
        <v>9781526112996</v>
      </c>
      <c r="S624" t="str">
        <f>"9781526113016"</f>
        <v>9781526113016</v>
      </c>
      <c r="T624">
        <v>990187348</v>
      </c>
    </row>
    <row r="625" spans="1:20" x14ac:dyDescent="0.3">
      <c r="A625">
        <v>1540128</v>
      </c>
      <c r="B625" t="s">
        <v>2852</v>
      </c>
      <c r="C625" t="s">
        <v>2853</v>
      </c>
      <c r="D625" t="s">
        <v>1482</v>
      </c>
      <c r="E625" t="s">
        <v>1482</v>
      </c>
      <c r="F625">
        <v>2017</v>
      </c>
      <c r="G625" t="s">
        <v>1680</v>
      </c>
      <c r="H625" t="s">
        <v>2854</v>
      </c>
      <c r="I625" t="s">
        <v>2855</v>
      </c>
      <c r="J625" t="s">
        <v>24</v>
      </c>
      <c r="K625" t="s">
        <v>25</v>
      </c>
      <c r="L625" t="b">
        <v>1</v>
      </c>
      <c r="M625" t="s">
        <v>2856</v>
      </c>
      <c r="N625" t="str">
        <f>"303.4"</f>
        <v>303.4</v>
      </c>
      <c r="O625" t="s">
        <v>2857</v>
      </c>
      <c r="P625" t="b">
        <v>0</v>
      </c>
      <c r="R625" t="str">
        <f>"9781526117083"</f>
        <v>9781526117083</v>
      </c>
      <c r="S625" t="str">
        <f>"9781526117090"</f>
        <v>9781526117090</v>
      </c>
      <c r="T625">
        <v>990185412</v>
      </c>
    </row>
    <row r="626" spans="1:20" x14ac:dyDescent="0.3">
      <c r="A626">
        <v>1540103</v>
      </c>
      <c r="B626" t="s">
        <v>2858</v>
      </c>
      <c r="C626" t="s">
        <v>2859</v>
      </c>
      <c r="D626" t="s">
        <v>2860</v>
      </c>
      <c r="E626" t="s">
        <v>2860</v>
      </c>
      <c r="F626">
        <v>2017</v>
      </c>
      <c r="G626" t="s">
        <v>2861</v>
      </c>
      <c r="H626" t="s">
        <v>2862</v>
      </c>
      <c r="I626" t="s">
        <v>2863</v>
      </c>
      <c r="J626" t="s">
        <v>24</v>
      </c>
      <c r="K626" t="s">
        <v>25</v>
      </c>
      <c r="L626" t="b">
        <v>1</v>
      </c>
      <c r="M626" t="s">
        <v>2864</v>
      </c>
      <c r="N626" t="str">
        <f>"174.2"</f>
        <v>174.2</v>
      </c>
      <c r="O626" t="s">
        <v>2865</v>
      </c>
      <c r="P626" t="b">
        <v>0</v>
      </c>
      <c r="Q626" t="b">
        <v>0</v>
      </c>
      <c r="R626" t="str">
        <f>"9781536121216"</f>
        <v>9781536121216</v>
      </c>
      <c r="S626" t="str">
        <f>"9781536121483"</f>
        <v>9781536121483</v>
      </c>
      <c r="T626">
        <v>988749106</v>
      </c>
    </row>
    <row r="627" spans="1:20" x14ac:dyDescent="0.3">
      <c r="A627">
        <v>1540071</v>
      </c>
      <c r="B627" t="s">
        <v>2866</v>
      </c>
      <c r="D627" t="s">
        <v>2860</v>
      </c>
      <c r="E627" t="s">
        <v>2860</v>
      </c>
      <c r="F627">
        <v>2017</v>
      </c>
      <c r="G627" t="s">
        <v>2867</v>
      </c>
      <c r="H627" t="s">
        <v>2868</v>
      </c>
      <c r="I627" t="s">
        <v>2869</v>
      </c>
      <c r="J627" t="s">
        <v>24</v>
      </c>
      <c r="K627" t="s">
        <v>25</v>
      </c>
      <c r="L627" t="b">
        <v>1</v>
      </c>
      <c r="M627" t="s">
        <v>2870</v>
      </c>
      <c r="N627" t="str">
        <f>"570.72"</f>
        <v>570.72</v>
      </c>
      <c r="O627" t="s">
        <v>2871</v>
      </c>
      <c r="P627" t="b">
        <v>0</v>
      </c>
      <c r="Q627" t="b">
        <v>0</v>
      </c>
      <c r="R627" t="str">
        <f>"9781536121155"</f>
        <v>9781536121155</v>
      </c>
      <c r="S627" t="str">
        <f>"9781536121391"</f>
        <v>9781536121391</v>
      </c>
      <c r="T627">
        <v>991595857</v>
      </c>
    </row>
    <row r="628" spans="1:20" x14ac:dyDescent="0.3">
      <c r="A628">
        <v>1540065</v>
      </c>
      <c r="B628" t="s">
        <v>2872</v>
      </c>
      <c r="D628" t="s">
        <v>2860</v>
      </c>
      <c r="E628" t="s">
        <v>2860</v>
      </c>
      <c r="F628">
        <v>2017</v>
      </c>
      <c r="G628" t="s">
        <v>2873</v>
      </c>
      <c r="H628" t="s">
        <v>2874</v>
      </c>
      <c r="I628" t="s">
        <v>2875</v>
      </c>
      <c r="J628" t="s">
        <v>24</v>
      </c>
      <c r="K628" t="s">
        <v>25</v>
      </c>
      <c r="L628" t="b">
        <v>1</v>
      </c>
      <c r="M628" t="s">
        <v>2876</v>
      </c>
      <c r="N628" t="str">
        <f>"577/.140911"</f>
        <v>577/.140911</v>
      </c>
      <c r="P628" t="b">
        <v>0</v>
      </c>
      <c r="Q628" t="b">
        <v>0</v>
      </c>
      <c r="R628" t="str">
        <f>"9781536120813"</f>
        <v>9781536120813</v>
      </c>
      <c r="S628" t="str">
        <f>"9781536121001"</f>
        <v>9781536121001</v>
      </c>
      <c r="T628">
        <v>987437629</v>
      </c>
    </row>
    <row r="629" spans="1:20" x14ac:dyDescent="0.3">
      <c r="A629">
        <v>1540058</v>
      </c>
      <c r="B629" t="s">
        <v>2877</v>
      </c>
      <c r="C629" t="s">
        <v>2878</v>
      </c>
      <c r="D629" t="s">
        <v>2860</v>
      </c>
      <c r="E629" t="s">
        <v>2860</v>
      </c>
      <c r="F629">
        <v>2017</v>
      </c>
      <c r="G629" t="s">
        <v>2879</v>
      </c>
      <c r="H629" t="s">
        <v>2880</v>
      </c>
      <c r="I629" t="s">
        <v>2881</v>
      </c>
      <c r="J629" t="s">
        <v>24</v>
      </c>
      <c r="K629" t="s">
        <v>25</v>
      </c>
      <c r="L629" t="b">
        <v>1</v>
      </c>
      <c r="M629" t="s">
        <v>2882</v>
      </c>
      <c r="N629" t="str">
        <f>"628.5/2"</f>
        <v>628.5/2</v>
      </c>
      <c r="O629" t="s">
        <v>2883</v>
      </c>
      <c r="P629" t="b">
        <v>0</v>
      </c>
      <c r="Q629" t="b">
        <v>0</v>
      </c>
      <c r="R629" t="str">
        <f>"9781536120677"</f>
        <v>9781536120677</v>
      </c>
      <c r="S629" t="str">
        <f>"9781536120868"</f>
        <v>9781536120868</v>
      </c>
      <c r="T629">
        <v>991595818</v>
      </c>
    </row>
    <row r="630" spans="1:20" x14ac:dyDescent="0.3">
      <c r="A630">
        <v>1538908</v>
      </c>
      <c r="B630" t="s">
        <v>2884</v>
      </c>
      <c r="D630" t="s">
        <v>2885</v>
      </c>
      <c r="E630" t="s">
        <v>2885</v>
      </c>
      <c r="F630">
        <v>2017</v>
      </c>
      <c r="G630" t="s">
        <v>2873</v>
      </c>
      <c r="H630" t="s">
        <v>2886</v>
      </c>
      <c r="I630" t="s">
        <v>2887</v>
      </c>
      <c r="J630" t="s">
        <v>24</v>
      </c>
      <c r="K630" t="s">
        <v>25</v>
      </c>
      <c r="L630" t="b">
        <v>1</v>
      </c>
      <c r="M630" t="s">
        <v>2888</v>
      </c>
      <c r="N630" t="str">
        <f>"577.01"</f>
        <v>577.01</v>
      </c>
      <c r="P630" t="b">
        <v>0</v>
      </c>
      <c r="Q630" t="b">
        <v>0</v>
      </c>
      <c r="R630" t="str">
        <f>"9781551646077"</f>
        <v>9781551646077</v>
      </c>
      <c r="S630" t="str">
        <f>"9781551646114"</f>
        <v>9781551646114</v>
      </c>
      <c r="T630">
        <v>983482114</v>
      </c>
    </row>
    <row r="631" spans="1:20" x14ac:dyDescent="0.3">
      <c r="A631">
        <v>1538907</v>
      </c>
      <c r="B631" t="s">
        <v>2889</v>
      </c>
      <c r="C631" t="s">
        <v>2890</v>
      </c>
      <c r="D631" t="s">
        <v>2885</v>
      </c>
      <c r="E631" t="s">
        <v>2885</v>
      </c>
      <c r="F631">
        <v>2017</v>
      </c>
      <c r="G631" t="s">
        <v>1680</v>
      </c>
      <c r="H631" t="s">
        <v>2891</v>
      </c>
      <c r="I631" t="s">
        <v>2892</v>
      </c>
      <c r="J631" t="s">
        <v>24</v>
      </c>
      <c r="K631" t="s">
        <v>25</v>
      </c>
      <c r="L631" t="b">
        <v>1</v>
      </c>
      <c r="M631" t="s">
        <v>2893</v>
      </c>
      <c r="N631" t="str">
        <f>"307.760971"</f>
        <v>307.760971</v>
      </c>
      <c r="P631" t="b">
        <v>0</v>
      </c>
      <c r="Q631" t="b">
        <v>0</v>
      </c>
      <c r="R631" t="str">
        <f>"9781551643342"</f>
        <v>9781551643342</v>
      </c>
      <c r="S631" t="str">
        <f>"9781551646152"</f>
        <v>9781551646152</v>
      </c>
      <c r="T631">
        <v>976416189</v>
      </c>
    </row>
    <row r="632" spans="1:20" x14ac:dyDescent="0.3">
      <c r="A632">
        <v>1538791</v>
      </c>
      <c r="B632" t="s">
        <v>2894</v>
      </c>
      <c r="C632" t="s">
        <v>2895</v>
      </c>
      <c r="D632" t="s">
        <v>2896</v>
      </c>
      <c r="E632" t="s">
        <v>2897</v>
      </c>
      <c r="F632">
        <v>2017</v>
      </c>
      <c r="G632" t="s">
        <v>2666</v>
      </c>
      <c r="H632" t="s">
        <v>2898</v>
      </c>
      <c r="I632" t="s">
        <v>2899</v>
      </c>
      <c r="J632" t="s">
        <v>24</v>
      </c>
      <c r="K632" t="s">
        <v>269</v>
      </c>
      <c r="L632" t="b">
        <v>1</v>
      </c>
      <c r="M632" t="s">
        <v>2900</v>
      </c>
      <c r="N632" t="str">
        <f>"617.1/8"</f>
        <v>617.1/8</v>
      </c>
      <c r="O632" t="s">
        <v>2901</v>
      </c>
      <c r="P632" t="b">
        <v>0</v>
      </c>
      <c r="Q632" t="b">
        <v>0</v>
      </c>
      <c r="R632" t="str">
        <f>"9781936590704"</f>
        <v>9781936590704</v>
      </c>
      <c r="S632" t="str">
        <f>"9781936590711"</f>
        <v>9781936590711</v>
      </c>
      <c r="T632">
        <v>960940652</v>
      </c>
    </row>
    <row r="633" spans="1:20" x14ac:dyDescent="0.3">
      <c r="A633">
        <v>1538530</v>
      </c>
      <c r="B633" t="s">
        <v>2902</v>
      </c>
      <c r="D633" t="s">
        <v>2450</v>
      </c>
      <c r="E633" t="s">
        <v>2451</v>
      </c>
      <c r="F633">
        <v>2017</v>
      </c>
      <c r="G633" t="s">
        <v>2903</v>
      </c>
      <c r="H633" t="s">
        <v>2904</v>
      </c>
      <c r="I633" t="s">
        <v>2905</v>
      </c>
      <c r="J633" t="s">
        <v>2437</v>
      </c>
      <c r="K633" t="s">
        <v>25</v>
      </c>
      <c r="L633" t="b">
        <v>1</v>
      </c>
      <c r="M633" t="s">
        <v>2906</v>
      </c>
      <c r="N633" t="str">
        <f>"270.6"</f>
        <v>270.6</v>
      </c>
      <c r="P633" t="b">
        <v>0</v>
      </c>
      <c r="R633" t="str">
        <f>"9783959482608"</f>
        <v>9783959482608</v>
      </c>
      <c r="S633" t="str">
        <f>"9783959488266"</f>
        <v>9783959488266</v>
      </c>
      <c r="T633">
        <v>990778025</v>
      </c>
    </row>
    <row r="634" spans="1:20" x14ac:dyDescent="0.3">
      <c r="A634">
        <v>1538527</v>
      </c>
      <c r="B634" t="s">
        <v>2907</v>
      </c>
      <c r="C634" t="s">
        <v>2908</v>
      </c>
      <c r="D634" t="s">
        <v>2450</v>
      </c>
      <c r="E634" t="s">
        <v>2451</v>
      </c>
      <c r="F634">
        <v>2017</v>
      </c>
      <c r="G634" t="s">
        <v>287</v>
      </c>
      <c r="H634" t="s">
        <v>2909</v>
      </c>
      <c r="I634" t="s">
        <v>2910</v>
      </c>
      <c r="J634" t="s">
        <v>2437</v>
      </c>
      <c r="K634" t="s">
        <v>25</v>
      </c>
      <c r="L634" t="b">
        <v>1</v>
      </c>
      <c r="M634" t="s">
        <v>2911</v>
      </c>
      <c r="N634" t="str">
        <f>"320.011"</f>
        <v>320.011</v>
      </c>
      <c r="P634" t="b">
        <v>0</v>
      </c>
      <c r="R634" t="str">
        <f>"9783959482646"</f>
        <v>9783959482646</v>
      </c>
      <c r="S634" t="str">
        <f>"9783959488235"</f>
        <v>9783959488235</v>
      </c>
      <c r="T634">
        <v>990778023</v>
      </c>
    </row>
    <row r="635" spans="1:20" x14ac:dyDescent="0.3">
      <c r="A635">
        <v>1538525</v>
      </c>
      <c r="B635" t="s">
        <v>2912</v>
      </c>
      <c r="D635" t="s">
        <v>2450</v>
      </c>
      <c r="E635" t="s">
        <v>2451</v>
      </c>
      <c r="F635">
        <v>2017</v>
      </c>
      <c r="G635" t="s">
        <v>287</v>
      </c>
      <c r="H635" t="s">
        <v>2913</v>
      </c>
      <c r="I635" t="s">
        <v>2914</v>
      </c>
      <c r="J635" t="s">
        <v>2437</v>
      </c>
      <c r="K635" t="s">
        <v>25</v>
      </c>
      <c r="L635" t="b">
        <v>1</v>
      </c>
      <c r="M635" t="s">
        <v>2915</v>
      </c>
      <c r="N635" t="str">
        <f>"128"</f>
        <v>128</v>
      </c>
      <c r="O635" t="s">
        <v>2916</v>
      </c>
      <c r="P635" t="b">
        <v>0</v>
      </c>
      <c r="R635" t="str">
        <f>"9783959482523"</f>
        <v>9783959482523</v>
      </c>
      <c r="S635" t="str">
        <f>"9783959488273"</f>
        <v>9783959488273</v>
      </c>
      <c r="T635">
        <v>990777888</v>
      </c>
    </row>
    <row r="636" spans="1:20" x14ac:dyDescent="0.3">
      <c r="A636">
        <v>1538524</v>
      </c>
      <c r="B636" t="s">
        <v>2917</v>
      </c>
      <c r="D636" t="s">
        <v>2450</v>
      </c>
      <c r="E636" t="s">
        <v>2451</v>
      </c>
      <c r="F636">
        <v>2017</v>
      </c>
      <c r="G636" t="s">
        <v>287</v>
      </c>
      <c r="H636" t="s">
        <v>2918</v>
      </c>
      <c r="I636" t="s">
        <v>2919</v>
      </c>
      <c r="J636" t="s">
        <v>2437</v>
      </c>
      <c r="K636" t="s">
        <v>25</v>
      </c>
      <c r="L636" t="b">
        <v>1</v>
      </c>
      <c r="M636" t="s">
        <v>2920</v>
      </c>
      <c r="N636" t="str">
        <f>"833.912"</f>
        <v>833.912</v>
      </c>
      <c r="P636" t="b">
        <v>0</v>
      </c>
      <c r="R636" t="str">
        <f>"9783959482318"</f>
        <v>9783959482318</v>
      </c>
      <c r="S636" t="str">
        <f>"9783959488280"</f>
        <v>9783959488280</v>
      </c>
      <c r="T636">
        <v>990777887</v>
      </c>
    </row>
    <row r="637" spans="1:20" x14ac:dyDescent="0.3">
      <c r="A637">
        <v>1538523</v>
      </c>
      <c r="B637" t="s">
        <v>2921</v>
      </c>
      <c r="C637" t="s">
        <v>2922</v>
      </c>
      <c r="D637" t="s">
        <v>2450</v>
      </c>
      <c r="E637" t="s">
        <v>2451</v>
      </c>
      <c r="F637">
        <v>2017</v>
      </c>
      <c r="G637" t="s">
        <v>125</v>
      </c>
      <c r="H637" t="s">
        <v>2923</v>
      </c>
      <c r="I637" t="s">
        <v>2924</v>
      </c>
      <c r="J637" t="s">
        <v>2437</v>
      </c>
      <c r="K637" t="s">
        <v>25</v>
      </c>
      <c r="L637" t="b">
        <v>1</v>
      </c>
      <c r="M637" t="s">
        <v>2925</v>
      </c>
      <c r="N637" t="str">
        <f>"831.92"</f>
        <v>831.92</v>
      </c>
      <c r="P637" t="b">
        <v>0</v>
      </c>
      <c r="R637" t="str">
        <f>"9783959482080"</f>
        <v>9783959482080</v>
      </c>
      <c r="S637" t="str">
        <f>"9783959488297"</f>
        <v>9783959488297</v>
      </c>
      <c r="T637">
        <v>990777886</v>
      </c>
    </row>
    <row r="638" spans="1:20" x14ac:dyDescent="0.3">
      <c r="A638">
        <v>1538454</v>
      </c>
      <c r="B638" t="s">
        <v>2926</v>
      </c>
      <c r="C638" t="s">
        <v>2927</v>
      </c>
      <c r="D638" t="s">
        <v>45</v>
      </c>
      <c r="E638" t="s">
        <v>45</v>
      </c>
      <c r="F638">
        <v>2017</v>
      </c>
      <c r="G638" t="s">
        <v>2928</v>
      </c>
      <c r="H638" t="s">
        <v>2929</v>
      </c>
      <c r="I638" t="s">
        <v>2930</v>
      </c>
      <c r="J638" t="s">
        <v>24</v>
      </c>
      <c r="K638" t="s">
        <v>269</v>
      </c>
      <c r="L638" t="b">
        <v>1</v>
      </c>
      <c r="M638" t="s">
        <v>2931</v>
      </c>
      <c r="N638" t="str">
        <f>"290"</f>
        <v>290</v>
      </c>
      <c r="O638" t="s">
        <v>2932</v>
      </c>
      <c r="P638" t="b">
        <v>0</v>
      </c>
      <c r="R638" t="str">
        <f>"9781501513305"</f>
        <v>9781501513305</v>
      </c>
      <c r="S638" t="str">
        <f>"9781501504754"</f>
        <v>9781501504754</v>
      </c>
      <c r="T638">
        <v>992506896</v>
      </c>
    </row>
    <row r="639" spans="1:20" x14ac:dyDescent="0.3">
      <c r="A639">
        <v>1538433</v>
      </c>
      <c r="B639" t="s">
        <v>2933</v>
      </c>
      <c r="C639" t="s">
        <v>2934</v>
      </c>
      <c r="D639" t="s">
        <v>45</v>
      </c>
      <c r="E639" t="s">
        <v>45</v>
      </c>
      <c r="F639">
        <v>2017</v>
      </c>
      <c r="G639" t="s">
        <v>1817</v>
      </c>
      <c r="J639" t="s">
        <v>325</v>
      </c>
      <c r="K639" t="s">
        <v>269</v>
      </c>
      <c r="L639" t="b">
        <v>1</v>
      </c>
      <c r="M639" t="s">
        <v>2935</v>
      </c>
      <c r="O639" t="s">
        <v>2936</v>
      </c>
      <c r="P639" t="b">
        <v>0</v>
      </c>
      <c r="R639" t="str">
        <f>"9783110480726"</f>
        <v>9783110480726</v>
      </c>
      <c r="S639" t="str">
        <f>"9783110480740"</f>
        <v>9783110480740</v>
      </c>
    </row>
    <row r="640" spans="1:20" x14ac:dyDescent="0.3">
      <c r="A640">
        <v>1537761</v>
      </c>
      <c r="B640" t="s">
        <v>2937</v>
      </c>
      <c r="D640" t="s">
        <v>2547</v>
      </c>
      <c r="E640" t="s">
        <v>2548</v>
      </c>
      <c r="F640">
        <v>2017</v>
      </c>
      <c r="G640" t="s">
        <v>2434</v>
      </c>
      <c r="H640" t="s">
        <v>2938</v>
      </c>
      <c r="I640" t="s">
        <v>2939</v>
      </c>
      <c r="J640" t="s">
        <v>596</v>
      </c>
      <c r="K640" t="s">
        <v>25</v>
      </c>
      <c r="L640" t="b">
        <v>1</v>
      </c>
      <c r="M640" t="s">
        <v>2940</v>
      </c>
      <c r="N640" t="str">
        <f>"340"</f>
        <v>340</v>
      </c>
      <c r="P640" t="b">
        <v>0</v>
      </c>
      <c r="Q640" t="b">
        <v>0</v>
      </c>
      <c r="S640" t="str">
        <f>"9788892167599"</f>
        <v>9788892167599</v>
      </c>
      <c r="T640">
        <v>992801704</v>
      </c>
    </row>
    <row r="641" spans="1:20" x14ac:dyDescent="0.3">
      <c r="A641">
        <v>1537759</v>
      </c>
      <c r="B641" t="s">
        <v>2941</v>
      </c>
      <c r="C641" t="s">
        <v>2942</v>
      </c>
      <c r="D641" t="s">
        <v>2547</v>
      </c>
      <c r="E641" t="s">
        <v>2548</v>
      </c>
      <c r="F641">
        <v>2017</v>
      </c>
      <c r="G641" t="s">
        <v>1468</v>
      </c>
      <c r="H641" t="s">
        <v>2943</v>
      </c>
      <c r="I641" t="s">
        <v>2944</v>
      </c>
      <c r="J641" t="s">
        <v>596</v>
      </c>
      <c r="K641" t="s">
        <v>269</v>
      </c>
      <c r="L641" t="b">
        <v>1</v>
      </c>
      <c r="M641" t="s">
        <v>2945</v>
      </c>
      <c r="N641" t="str">
        <f>"346"</f>
        <v>346</v>
      </c>
      <c r="O641" t="s">
        <v>2946</v>
      </c>
      <c r="P641" t="b">
        <v>0</v>
      </c>
      <c r="Q641" t="b">
        <v>0</v>
      </c>
      <c r="S641" t="str">
        <f>"9788892165656"</f>
        <v>9788892165656</v>
      </c>
      <c r="T641">
        <v>991569868</v>
      </c>
    </row>
    <row r="642" spans="1:20" x14ac:dyDescent="0.3">
      <c r="A642">
        <v>1537757</v>
      </c>
      <c r="B642" t="s">
        <v>2947</v>
      </c>
      <c r="D642" t="s">
        <v>2547</v>
      </c>
      <c r="E642" t="s">
        <v>2548</v>
      </c>
      <c r="F642">
        <v>2017</v>
      </c>
      <c r="G642" t="s">
        <v>2434</v>
      </c>
      <c r="H642" t="s">
        <v>2948</v>
      </c>
      <c r="I642" t="s">
        <v>2949</v>
      </c>
      <c r="J642" t="s">
        <v>596</v>
      </c>
      <c r="K642" t="s">
        <v>25</v>
      </c>
      <c r="L642" t="b">
        <v>1</v>
      </c>
      <c r="M642" t="s">
        <v>2950</v>
      </c>
      <c r="N642" t="str">
        <f>"343.45"</f>
        <v>343.45</v>
      </c>
      <c r="O642" t="s">
        <v>2951</v>
      </c>
      <c r="P642" t="b">
        <v>0</v>
      </c>
      <c r="Q642" t="b">
        <v>0</v>
      </c>
      <c r="S642" t="str">
        <f>"9788892165380"</f>
        <v>9788892165380</v>
      </c>
      <c r="T642">
        <v>993557299</v>
      </c>
    </row>
    <row r="643" spans="1:20" x14ac:dyDescent="0.3">
      <c r="A643">
        <v>1537707</v>
      </c>
      <c r="B643" t="s">
        <v>2952</v>
      </c>
      <c r="D643" t="s">
        <v>2547</v>
      </c>
      <c r="E643" t="s">
        <v>2548</v>
      </c>
      <c r="F643">
        <v>2016</v>
      </c>
      <c r="G643" t="s">
        <v>2434</v>
      </c>
      <c r="H643" t="s">
        <v>2953</v>
      </c>
      <c r="I643" t="s">
        <v>2954</v>
      </c>
      <c r="J643" t="s">
        <v>596</v>
      </c>
      <c r="K643" t="s">
        <v>25</v>
      </c>
      <c r="L643" t="b">
        <v>1</v>
      </c>
      <c r="M643" t="s">
        <v>2955</v>
      </c>
      <c r="N643" t="str">
        <f>"340"</f>
        <v>340</v>
      </c>
      <c r="P643" t="b">
        <v>0</v>
      </c>
      <c r="Q643" t="b">
        <v>0</v>
      </c>
      <c r="S643" t="str">
        <f>"9788892164406"</f>
        <v>9788892164406</v>
      </c>
      <c r="T643">
        <v>993470087</v>
      </c>
    </row>
    <row r="644" spans="1:20" x14ac:dyDescent="0.3">
      <c r="A644">
        <v>1537701</v>
      </c>
      <c r="B644" t="s">
        <v>2956</v>
      </c>
      <c r="C644" t="s">
        <v>2957</v>
      </c>
      <c r="D644" t="s">
        <v>2547</v>
      </c>
      <c r="E644" t="s">
        <v>2548</v>
      </c>
      <c r="F644">
        <v>2017</v>
      </c>
      <c r="G644" t="s">
        <v>1468</v>
      </c>
      <c r="H644" t="s">
        <v>2958</v>
      </c>
      <c r="I644" t="s">
        <v>2959</v>
      </c>
      <c r="J644" t="s">
        <v>596</v>
      </c>
      <c r="K644" t="s">
        <v>269</v>
      </c>
      <c r="L644" t="b">
        <v>1</v>
      </c>
      <c r="M644" t="s">
        <v>2960</v>
      </c>
      <c r="N644" t="str">
        <f>"346"</f>
        <v>346</v>
      </c>
      <c r="P644" t="b">
        <v>0</v>
      </c>
      <c r="Q644" t="b">
        <v>0</v>
      </c>
      <c r="S644" t="str">
        <f>"9788892167476"</f>
        <v>9788892167476</v>
      </c>
      <c r="T644">
        <v>993557427</v>
      </c>
    </row>
    <row r="645" spans="1:20" x14ac:dyDescent="0.3">
      <c r="A645">
        <v>1537694</v>
      </c>
      <c r="B645" t="s">
        <v>2961</v>
      </c>
      <c r="C645" t="s">
        <v>2962</v>
      </c>
      <c r="D645" t="s">
        <v>2547</v>
      </c>
      <c r="E645" t="s">
        <v>2548</v>
      </c>
      <c r="F645">
        <v>2017</v>
      </c>
      <c r="G645" t="s">
        <v>1468</v>
      </c>
      <c r="H645" t="s">
        <v>2963</v>
      </c>
      <c r="I645" t="s">
        <v>2964</v>
      </c>
      <c r="J645" t="s">
        <v>24</v>
      </c>
      <c r="K645" t="s">
        <v>25</v>
      </c>
      <c r="L645" t="b">
        <v>1</v>
      </c>
      <c r="M645" t="s">
        <v>2965</v>
      </c>
      <c r="N645" t="str">
        <f>"344.01"</f>
        <v>344.01</v>
      </c>
      <c r="O645" t="s">
        <v>2966</v>
      </c>
      <c r="P645" t="b">
        <v>0</v>
      </c>
      <c r="Q645" t="b">
        <v>0</v>
      </c>
      <c r="S645" t="str">
        <f>"9788892166004"</f>
        <v>9788892166004</v>
      </c>
      <c r="T645">
        <v>993493625</v>
      </c>
    </row>
    <row r="646" spans="1:20" x14ac:dyDescent="0.3">
      <c r="A646">
        <v>1537688</v>
      </c>
      <c r="B646" t="s">
        <v>2967</v>
      </c>
      <c r="D646" t="s">
        <v>2547</v>
      </c>
      <c r="E646" t="s">
        <v>2548</v>
      </c>
      <c r="F646">
        <v>2017</v>
      </c>
      <c r="G646" t="s">
        <v>1620</v>
      </c>
      <c r="H646" t="s">
        <v>2968</v>
      </c>
      <c r="I646" t="s">
        <v>2969</v>
      </c>
      <c r="J646" t="s">
        <v>596</v>
      </c>
      <c r="K646" t="s">
        <v>269</v>
      </c>
      <c r="L646" t="b">
        <v>1</v>
      </c>
      <c r="M646" t="s">
        <v>2970</v>
      </c>
      <c r="N646" t="str">
        <f>"341.77094"</f>
        <v>341.77094</v>
      </c>
      <c r="O646" t="s">
        <v>2971</v>
      </c>
      <c r="P646" t="b">
        <v>0</v>
      </c>
      <c r="Q646" t="b">
        <v>0</v>
      </c>
      <c r="S646" t="str">
        <f>"9788892165205"</f>
        <v>9788892165205</v>
      </c>
      <c r="T646">
        <v>991569093</v>
      </c>
    </row>
    <row r="647" spans="1:20" x14ac:dyDescent="0.3">
      <c r="A647">
        <v>1537686</v>
      </c>
      <c r="B647" t="s">
        <v>2972</v>
      </c>
      <c r="C647" t="s">
        <v>2973</v>
      </c>
      <c r="D647" t="s">
        <v>2547</v>
      </c>
      <c r="E647" t="s">
        <v>2548</v>
      </c>
      <c r="F647">
        <v>2016</v>
      </c>
      <c r="G647" t="s">
        <v>1620</v>
      </c>
      <c r="H647" t="s">
        <v>2974</v>
      </c>
      <c r="I647" t="s">
        <v>2975</v>
      </c>
      <c r="J647" t="s">
        <v>596</v>
      </c>
      <c r="K647" t="s">
        <v>269</v>
      </c>
      <c r="L647" t="b">
        <v>1</v>
      </c>
      <c r="M647" t="s">
        <v>2976</v>
      </c>
      <c r="N647" t="str">
        <f>"345"</f>
        <v>345</v>
      </c>
      <c r="P647" t="b">
        <v>0</v>
      </c>
      <c r="Q647" t="b">
        <v>0</v>
      </c>
      <c r="S647" t="str">
        <f>"9788892164307"</f>
        <v>9788892164307</v>
      </c>
      <c r="T647">
        <v>993472661</v>
      </c>
    </row>
    <row r="648" spans="1:20" x14ac:dyDescent="0.3">
      <c r="A648">
        <v>1537685</v>
      </c>
      <c r="B648" t="s">
        <v>2977</v>
      </c>
      <c r="C648" t="s">
        <v>2978</v>
      </c>
      <c r="D648" t="s">
        <v>2547</v>
      </c>
      <c r="E648" t="s">
        <v>2548</v>
      </c>
      <c r="F648">
        <v>2017</v>
      </c>
      <c r="G648" t="s">
        <v>370</v>
      </c>
      <c r="H648" t="s">
        <v>2979</v>
      </c>
      <c r="I648" t="s">
        <v>2980</v>
      </c>
      <c r="J648" t="s">
        <v>596</v>
      </c>
      <c r="K648" t="s">
        <v>269</v>
      </c>
      <c r="L648" t="b">
        <v>1</v>
      </c>
      <c r="M648" t="s">
        <v>2981</v>
      </c>
      <c r="N648" t="str">
        <f>"323.443"</f>
        <v>323.443</v>
      </c>
      <c r="P648" t="b">
        <v>0</v>
      </c>
      <c r="Q648" t="b">
        <v>0</v>
      </c>
      <c r="S648" t="str">
        <f>"9788892163812"</f>
        <v>9788892163812</v>
      </c>
      <c r="T648">
        <v>993535659</v>
      </c>
    </row>
    <row r="649" spans="1:20" x14ac:dyDescent="0.3">
      <c r="A649">
        <v>1537250</v>
      </c>
      <c r="B649" t="s">
        <v>2982</v>
      </c>
      <c r="D649" t="s">
        <v>2983</v>
      </c>
      <c r="E649" t="s">
        <v>2984</v>
      </c>
      <c r="F649">
        <v>2016</v>
      </c>
      <c r="J649" t="s">
        <v>580</v>
      </c>
      <c r="K649" t="s">
        <v>25</v>
      </c>
      <c r="L649" t="b">
        <v>1</v>
      </c>
      <c r="M649" t="s">
        <v>2985</v>
      </c>
      <c r="P649" t="b">
        <v>0</v>
      </c>
      <c r="R649" t="str">
        <f>"9789587417029"</f>
        <v>9789587417029</v>
      </c>
      <c r="S649" t="str">
        <f>"9789587417036"</f>
        <v>9789587417036</v>
      </c>
    </row>
    <row r="650" spans="1:20" x14ac:dyDescent="0.3">
      <c r="A650">
        <v>1537249</v>
      </c>
      <c r="B650" t="s">
        <v>2986</v>
      </c>
      <c r="D650" t="s">
        <v>2983</v>
      </c>
      <c r="E650" t="s">
        <v>2984</v>
      </c>
      <c r="F650">
        <v>2017</v>
      </c>
      <c r="J650" t="s">
        <v>580</v>
      </c>
      <c r="K650" t="s">
        <v>269</v>
      </c>
      <c r="L650" t="b">
        <v>1</v>
      </c>
      <c r="M650" t="s">
        <v>2987</v>
      </c>
      <c r="P650" t="b">
        <v>0</v>
      </c>
      <c r="R650" t="str">
        <f>"9789587417791"</f>
        <v>9789587417791</v>
      </c>
      <c r="S650" t="str">
        <f>"9789587417807"</f>
        <v>9789587417807</v>
      </c>
    </row>
    <row r="651" spans="1:20" x14ac:dyDescent="0.3">
      <c r="A651">
        <v>1537247</v>
      </c>
      <c r="B651" t="s">
        <v>2988</v>
      </c>
      <c r="D651" t="s">
        <v>2983</v>
      </c>
      <c r="E651" t="s">
        <v>2984</v>
      </c>
      <c r="F651">
        <v>2017</v>
      </c>
      <c r="J651" t="s">
        <v>580</v>
      </c>
      <c r="K651" t="s">
        <v>269</v>
      </c>
      <c r="L651" t="b">
        <v>1</v>
      </c>
      <c r="M651" t="s">
        <v>2989</v>
      </c>
      <c r="P651" t="b">
        <v>0</v>
      </c>
      <c r="R651" t="str">
        <f>"9789587417708"</f>
        <v>9789587417708</v>
      </c>
      <c r="S651" t="str">
        <f>"9789587417715"</f>
        <v>9789587417715</v>
      </c>
    </row>
    <row r="652" spans="1:20" x14ac:dyDescent="0.3">
      <c r="A652">
        <v>1537246</v>
      </c>
      <c r="B652" t="s">
        <v>2990</v>
      </c>
      <c r="D652" t="s">
        <v>2983</v>
      </c>
      <c r="E652" t="s">
        <v>2984</v>
      </c>
      <c r="F652">
        <v>2017</v>
      </c>
      <c r="J652" t="s">
        <v>580</v>
      </c>
      <c r="K652" t="s">
        <v>25</v>
      </c>
      <c r="L652" t="b">
        <v>1</v>
      </c>
      <c r="M652" t="s">
        <v>2991</v>
      </c>
      <c r="P652" t="b">
        <v>0</v>
      </c>
      <c r="R652" t="str">
        <f>"9789587417593"</f>
        <v>9789587417593</v>
      </c>
      <c r="S652" t="str">
        <f>"9789587417586"</f>
        <v>9789587417586</v>
      </c>
    </row>
    <row r="653" spans="1:20" x14ac:dyDescent="0.3">
      <c r="A653">
        <v>1537245</v>
      </c>
      <c r="B653" t="s">
        <v>2992</v>
      </c>
      <c r="D653" t="s">
        <v>2983</v>
      </c>
      <c r="E653" t="s">
        <v>2984</v>
      </c>
      <c r="F653">
        <v>2017</v>
      </c>
      <c r="J653" t="s">
        <v>580</v>
      </c>
      <c r="K653" t="s">
        <v>25</v>
      </c>
      <c r="L653" t="b">
        <v>1</v>
      </c>
      <c r="M653" t="s">
        <v>2993</v>
      </c>
      <c r="P653" t="b">
        <v>0</v>
      </c>
      <c r="R653" t="str">
        <f>"9789587417562"</f>
        <v>9789587417562</v>
      </c>
      <c r="S653" t="str">
        <f>"9789587417579"</f>
        <v>9789587417579</v>
      </c>
    </row>
    <row r="654" spans="1:20" x14ac:dyDescent="0.3">
      <c r="A654">
        <v>1537244</v>
      </c>
      <c r="B654" t="s">
        <v>2994</v>
      </c>
      <c r="D654" t="s">
        <v>2983</v>
      </c>
      <c r="E654" t="s">
        <v>2984</v>
      </c>
      <c r="F654">
        <v>2017</v>
      </c>
      <c r="J654" t="s">
        <v>580</v>
      </c>
      <c r="K654" t="s">
        <v>25</v>
      </c>
      <c r="L654" t="b">
        <v>1</v>
      </c>
      <c r="M654" t="s">
        <v>2995</v>
      </c>
      <c r="P654" t="b">
        <v>0</v>
      </c>
      <c r="R654" t="str">
        <f>"9789587417739"</f>
        <v>9789587417739</v>
      </c>
      <c r="S654" t="str">
        <f>"9789587417746"</f>
        <v>9789587417746</v>
      </c>
    </row>
    <row r="655" spans="1:20" x14ac:dyDescent="0.3">
      <c r="A655">
        <v>1537242</v>
      </c>
      <c r="B655" t="s">
        <v>2996</v>
      </c>
      <c r="D655" t="s">
        <v>2983</v>
      </c>
      <c r="E655" t="s">
        <v>2984</v>
      </c>
      <c r="F655">
        <v>2017</v>
      </c>
      <c r="J655" t="s">
        <v>580</v>
      </c>
      <c r="K655" t="s">
        <v>269</v>
      </c>
      <c r="L655" t="b">
        <v>1</v>
      </c>
      <c r="M655" t="s">
        <v>2997</v>
      </c>
      <c r="P655" t="b">
        <v>0</v>
      </c>
      <c r="R655" t="str">
        <f>"9789587417678"</f>
        <v>9789587417678</v>
      </c>
      <c r="S655" t="str">
        <f>"9789587417685"</f>
        <v>9789587417685</v>
      </c>
    </row>
    <row r="656" spans="1:20" x14ac:dyDescent="0.3">
      <c r="A656">
        <v>1537241</v>
      </c>
      <c r="B656" t="s">
        <v>2998</v>
      </c>
      <c r="D656" t="s">
        <v>2983</v>
      </c>
      <c r="E656" t="s">
        <v>2984</v>
      </c>
      <c r="F656">
        <v>2017</v>
      </c>
      <c r="J656" t="s">
        <v>580</v>
      </c>
      <c r="K656" t="s">
        <v>269</v>
      </c>
      <c r="L656" t="b">
        <v>1</v>
      </c>
      <c r="M656" t="s">
        <v>2999</v>
      </c>
      <c r="P656" t="b">
        <v>0</v>
      </c>
      <c r="R656" t="str">
        <f>"9789587417500"</f>
        <v>9789587417500</v>
      </c>
      <c r="S656" t="str">
        <f>"9789587417517"</f>
        <v>9789587417517</v>
      </c>
    </row>
    <row r="657" spans="1:20" x14ac:dyDescent="0.3">
      <c r="A657">
        <v>1537240</v>
      </c>
      <c r="B657" t="s">
        <v>3000</v>
      </c>
      <c r="D657" t="s">
        <v>2983</v>
      </c>
      <c r="E657" t="s">
        <v>2984</v>
      </c>
      <c r="F657">
        <v>2017</v>
      </c>
      <c r="J657" t="s">
        <v>580</v>
      </c>
      <c r="K657" t="s">
        <v>269</v>
      </c>
      <c r="L657" t="b">
        <v>1</v>
      </c>
      <c r="M657" t="s">
        <v>3001</v>
      </c>
      <c r="P657" t="b">
        <v>0</v>
      </c>
      <c r="R657" t="str">
        <f>"9789587417531"</f>
        <v>9789587417531</v>
      </c>
      <c r="S657" t="str">
        <f>"9789587417548"</f>
        <v>9789587417548</v>
      </c>
    </row>
    <row r="658" spans="1:20" x14ac:dyDescent="0.3">
      <c r="A658">
        <v>1537239</v>
      </c>
      <c r="B658" t="s">
        <v>3002</v>
      </c>
      <c r="D658" t="s">
        <v>2983</v>
      </c>
      <c r="E658" t="s">
        <v>2984</v>
      </c>
      <c r="F658">
        <v>2016</v>
      </c>
      <c r="J658" t="s">
        <v>580</v>
      </c>
      <c r="K658" t="s">
        <v>269</v>
      </c>
      <c r="L658" t="b">
        <v>1</v>
      </c>
      <c r="M658" t="s">
        <v>3003</v>
      </c>
      <c r="P658" t="b">
        <v>0</v>
      </c>
      <c r="R658" t="str">
        <f>"9789587417395"</f>
        <v>9789587417395</v>
      </c>
      <c r="S658" t="str">
        <f>"9789587417401"</f>
        <v>9789587417401</v>
      </c>
    </row>
    <row r="659" spans="1:20" x14ac:dyDescent="0.3">
      <c r="A659">
        <v>1537238</v>
      </c>
      <c r="B659" t="s">
        <v>3004</v>
      </c>
      <c r="D659" t="s">
        <v>2983</v>
      </c>
      <c r="E659" t="s">
        <v>2984</v>
      </c>
      <c r="F659">
        <v>2016</v>
      </c>
      <c r="J659" t="s">
        <v>442</v>
      </c>
      <c r="K659" t="s">
        <v>269</v>
      </c>
      <c r="L659" t="b">
        <v>1</v>
      </c>
      <c r="M659" t="s">
        <v>3005</v>
      </c>
      <c r="P659" t="b">
        <v>0</v>
      </c>
      <c r="R659" t="str">
        <f>"9789587417425"</f>
        <v>9789587417425</v>
      </c>
      <c r="S659" t="str">
        <f>"9789587417432"</f>
        <v>9789587417432</v>
      </c>
    </row>
    <row r="660" spans="1:20" x14ac:dyDescent="0.3">
      <c r="A660">
        <v>1537237</v>
      </c>
      <c r="B660" t="s">
        <v>3006</v>
      </c>
      <c r="D660" t="s">
        <v>2983</v>
      </c>
      <c r="E660" t="s">
        <v>2984</v>
      </c>
      <c r="F660">
        <v>2016</v>
      </c>
      <c r="J660" t="s">
        <v>580</v>
      </c>
      <c r="K660" t="s">
        <v>269</v>
      </c>
      <c r="L660" t="b">
        <v>1</v>
      </c>
      <c r="M660" t="s">
        <v>3007</v>
      </c>
      <c r="P660" t="b">
        <v>0</v>
      </c>
      <c r="R660" t="str">
        <f>"9789587417449"</f>
        <v>9789587417449</v>
      </c>
      <c r="S660" t="str">
        <f>"9789587417456"</f>
        <v>9789587417456</v>
      </c>
    </row>
    <row r="661" spans="1:20" x14ac:dyDescent="0.3">
      <c r="A661">
        <v>1537236</v>
      </c>
      <c r="B661" t="s">
        <v>3008</v>
      </c>
      <c r="D661" t="s">
        <v>2983</v>
      </c>
      <c r="E661" t="s">
        <v>2984</v>
      </c>
      <c r="F661">
        <v>2016</v>
      </c>
      <c r="J661" t="s">
        <v>580</v>
      </c>
      <c r="K661" t="s">
        <v>269</v>
      </c>
      <c r="L661" t="b">
        <v>1</v>
      </c>
      <c r="M661" t="s">
        <v>3009</v>
      </c>
      <c r="P661" t="b">
        <v>0</v>
      </c>
      <c r="R661" t="str">
        <f>"9789587417173"</f>
        <v>9789587417173</v>
      </c>
      <c r="S661" t="str">
        <f>"9789587417180"</f>
        <v>9789587417180</v>
      </c>
    </row>
    <row r="662" spans="1:20" x14ac:dyDescent="0.3">
      <c r="A662">
        <v>1537235</v>
      </c>
      <c r="B662" t="s">
        <v>3010</v>
      </c>
      <c r="D662" t="s">
        <v>2983</v>
      </c>
      <c r="E662" t="s">
        <v>2984</v>
      </c>
      <c r="F662">
        <v>2016</v>
      </c>
      <c r="J662" t="s">
        <v>580</v>
      </c>
      <c r="K662" t="s">
        <v>269</v>
      </c>
      <c r="L662" t="b">
        <v>1</v>
      </c>
      <c r="M662" t="s">
        <v>3011</v>
      </c>
      <c r="P662" t="b">
        <v>0</v>
      </c>
      <c r="R662" t="str">
        <f>"9789587417203"</f>
        <v>9789587417203</v>
      </c>
      <c r="S662" t="str">
        <f>"9789587417210"</f>
        <v>9789587417210</v>
      </c>
    </row>
    <row r="663" spans="1:20" x14ac:dyDescent="0.3">
      <c r="A663">
        <v>1537234</v>
      </c>
      <c r="B663" t="s">
        <v>3012</v>
      </c>
      <c r="D663" t="s">
        <v>2983</v>
      </c>
      <c r="E663" t="s">
        <v>2984</v>
      </c>
      <c r="F663">
        <v>2016</v>
      </c>
      <c r="J663" t="s">
        <v>580</v>
      </c>
      <c r="K663" t="s">
        <v>269</v>
      </c>
      <c r="L663" t="b">
        <v>1</v>
      </c>
      <c r="M663" t="s">
        <v>3013</v>
      </c>
      <c r="P663" t="b">
        <v>0</v>
      </c>
      <c r="R663" t="str">
        <f>"9789587417234"</f>
        <v>9789587417234</v>
      </c>
      <c r="S663" t="str">
        <f>"9789587417241"</f>
        <v>9789587417241</v>
      </c>
    </row>
    <row r="664" spans="1:20" x14ac:dyDescent="0.3">
      <c r="A664">
        <v>1537233</v>
      </c>
      <c r="B664" t="s">
        <v>3014</v>
      </c>
      <c r="D664" t="s">
        <v>2983</v>
      </c>
      <c r="E664" t="s">
        <v>2984</v>
      </c>
      <c r="F664">
        <v>2016</v>
      </c>
      <c r="J664" t="s">
        <v>580</v>
      </c>
      <c r="K664" t="s">
        <v>269</v>
      </c>
      <c r="L664" t="b">
        <v>1</v>
      </c>
      <c r="M664" t="s">
        <v>3015</v>
      </c>
      <c r="P664" t="b">
        <v>0</v>
      </c>
      <c r="R664" t="str">
        <f>"9789587417265"</f>
        <v>9789587417265</v>
      </c>
      <c r="S664" t="str">
        <f>"9789587417272"</f>
        <v>9789587417272</v>
      </c>
    </row>
    <row r="665" spans="1:20" x14ac:dyDescent="0.3">
      <c r="A665">
        <v>1537232</v>
      </c>
      <c r="B665" t="s">
        <v>3016</v>
      </c>
      <c r="D665" t="s">
        <v>2983</v>
      </c>
      <c r="E665" t="s">
        <v>2984</v>
      </c>
      <c r="F665">
        <v>2016</v>
      </c>
      <c r="J665" t="s">
        <v>580</v>
      </c>
      <c r="K665" t="s">
        <v>269</v>
      </c>
      <c r="L665" t="b">
        <v>1</v>
      </c>
      <c r="M665" t="s">
        <v>3017</v>
      </c>
      <c r="P665" t="b">
        <v>0</v>
      </c>
      <c r="R665" t="str">
        <f>"9789587417296"</f>
        <v>9789587417296</v>
      </c>
      <c r="S665" t="str">
        <f>"9789587417302"</f>
        <v>9789587417302</v>
      </c>
    </row>
    <row r="666" spans="1:20" x14ac:dyDescent="0.3">
      <c r="A666">
        <v>1537231</v>
      </c>
      <c r="B666" t="s">
        <v>3018</v>
      </c>
      <c r="D666" t="s">
        <v>2983</v>
      </c>
      <c r="E666" t="s">
        <v>2984</v>
      </c>
      <c r="F666">
        <v>2016</v>
      </c>
      <c r="J666" t="s">
        <v>580</v>
      </c>
      <c r="K666" t="s">
        <v>269</v>
      </c>
      <c r="L666" t="b">
        <v>1</v>
      </c>
      <c r="M666" t="s">
        <v>3019</v>
      </c>
      <c r="P666" t="b">
        <v>0</v>
      </c>
      <c r="R666" t="str">
        <f>"9789587417326"</f>
        <v>9789587417326</v>
      </c>
      <c r="S666" t="str">
        <f>"9789587417333"</f>
        <v>9789587417333</v>
      </c>
    </row>
    <row r="667" spans="1:20" x14ac:dyDescent="0.3">
      <c r="A667">
        <v>1537230</v>
      </c>
      <c r="B667" t="s">
        <v>3020</v>
      </c>
      <c r="D667" t="s">
        <v>2983</v>
      </c>
      <c r="E667" t="s">
        <v>2984</v>
      </c>
      <c r="F667">
        <v>2016</v>
      </c>
      <c r="J667" t="s">
        <v>580</v>
      </c>
      <c r="K667" t="s">
        <v>269</v>
      </c>
      <c r="L667" t="b">
        <v>1</v>
      </c>
      <c r="M667" t="s">
        <v>3021</v>
      </c>
      <c r="P667" t="b">
        <v>0</v>
      </c>
      <c r="R667" t="str">
        <f>"9789587417357"</f>
        <v>9789587417357</v>
      </c>
      <c r="S667" t="str">
        <f>"9789587417364"</f>
        <v>9789587417364</v>
      </c>
    </row>
    <row r="668" spans="1:20" x14ac:dyDescent="0.3">
      <c r="A668">
        <v>1537229</v>
      </c>
      <c r="B668" t="s">
        <v>3022</v>
      </c>
      <c r="D668" t="s">
        <v>2983</v>
      </c>
      <c r="E668" t="s">
        <v>2984</v>
      </c>
      <c r="F668">
        <v>2016</v>
      </c>
      <c r="J668" t="s">
        <v>580</v>
      </c>
      <c r="K668" t="s">
        <v>269</v>
      </c>
      <c r="L668" t="b">
        <v>1</v>
      </c>
      <c r="M668" t="s">
        <v>3023</v>
      </c>
      <c r="P668" t="b">
        <v>0</v>
      </c>
      <c r="R668" t="str">
        <f>"9789587417098"</f>
        <v>9789587417098</v>
      </c>
      <c r="S668" t="str">
        <f>"9789587417104"</f>
        <v>9789587417104</v>
      </c>
    </row>
    <row r="669" spans="1:20" x14ac:dyDescent="0.3">
      <c r="A669">
        <v>1537228</v>
      </c>
      <c r="B669" t="s">
        <v>3024</v>
      </c>
      <c r="D669" t="s">
        <v>2983</v>
      </c>
      <c r="E669" t="s">
        <v>2984</v>
      </c>
      <c r="F669">
        <v>2016</v>
      </c>
      <c r="J669" t="s">
        <v>580</v>
      </c>
      <c r="K669" t="s">
        <v>25</v>
      </c>
      <c r="L669" t="b">
        <v>1</v>
      </c>
      <c r="M669" t="s">
        <v>3025</v>
      </c>
      <c r="P669" t="b">
        <v>0</v>
      </c>
      <c r="R669" t="str">
        <f>"9789587416954"</f>
        <v>9789587416954</v>
      </c>
      <c r="S669" t="str">
        <f>"9789587416961"</f>
        <v>9789587416961</v>
      </c>
    </row>
    <row r="670" spans="1:20" x14ac:dyDescent="0.3">
      <c r="A670">
        <v>1537227</v>
      </c>
      <c r="B670" t="s">
        <v>3026</v>
      </c>
      <c r="D670" t="s">
        <v>2983</v>
      </c>
      <c r="E670" t="s">
        <v>2984</v>
      </c>
      <c r="F670">
        <v>2016</v>
      </c>
      <c r="J670" t="s">
        <v>580</v>
      </c>
      <c r="K670" t="s">
        <v>269</v>
      </c>
      <c r="L670" t="b">
        <v>1</v>
      </c>
      <c r="M670" t="s">
        <v>3027</v>
      </c>
      <c r="P670" t="b">
        <v>0</v>
      </c>
      <c r="R670" t="str">
        <f>"9789587416978"</f>
        <v>9789587416978</v>
      </c>
      <c r="S670" t="str">
        <f>"9789587416985"</f>
        <v>9789587416985</v>
      </c>
    </row>
    <row r="671" spans="1:20" x14ac:dyDescent="0.3">
      <c r="A671">
        <v>1536305</v>
      </c>
      <c r="B671" t="s">
        <v>3028</v>
      </c>
      <c r="D671" t="s">
        <v>3029</v>
      </c>
      <c r="E671" t="s">
        <v>3030</v>
      </c>
      <c r="F671">
        <v>2017</v>
      </c>
      <c r="G671" t="s">
        <v>370</v>
      </c>
      <c r="H671" t="s">
        <v>3031</v>
      </c>
      <c r="I671" t="s">
        <v>3032</v>
      </c>
      <c r="J671" t="s">
        <v>24</v>
      </c>
      <c r="K671" t="s">
        <v>25</v>
      </c>
      <c r="L671" t="b">
        <v>1</v>
      </c>
      <c r="M671" t="s">
        <v>3033</v>
      </c>
      <c r="N671" t="str">
        <f>"409.72"</f>
        <v>409.72</v>
      </c>
      <c r="O671" t="s">
        <v>3034</v>
      </c>
      <c r="P671" t="b">
        <v>0</v>
      </c>
      <c r="R671" t="str">
        <f>"9789027259509"</f>
        <v>9789027259509</v>
      </c>
      <c r="S671" t="str">
        <f>"9789027265715"</f>
        <v>9789027265715</v>
      </c>
      <c r="T671">
        <v>989726859</v>
      </c>
    </row>
    <row r="672" spans="1:20" x14ac:dyDescent="0.3">
      <c r="A672">
        <v>1536304</v>
      </c>
      <c r="B672" t="s">
        <v>3035</v>
      </c>
      <c r="C672" t="s">
        <v>3036</v>
      </c>
      <c r="D672" t="s">
        <v>3029</v>
      </c>
      <c r="E672" t="s">
        <v>3030</v>
      </c>
      <c r="F672">
        <v>2017</v>
      </c>
      <c r="G672" t="s">
        <v>3037</v>
      </c>
      <c r="H672" t="s">
        <v>3038</v>
      </c>
      <c r="I672" t="s">
        <v>3039</v>
      </c>
      <c r="J672" t="s">
        <v>24</v>
      </c>
      <c r="K672" t="s">
        <v>25</v>
      </c>
      <c r="L672" t="b">
        <v>1</v>
      </c>
      <c r="M672" t="s">
        <v>3040</v>
      </c>
      <c r="N672" t="str">
        <f>"418/.02"</f>
        <v>418/.02</v>
      </c>
      <c r="O672" t="s">
        <v>3041</v>
      </c>
      <c r="P672" t="b">
        <v>0</v>
      </c>
      <c r="R672" t="str">
        <f>"9789027258755"</f>
        <v>9789027258755</v>
      </c>
      <c r="S672" t="str">
        <f>"9789027266088"</f>
        <v>9789027266088</v>
      </c>
      <c r="T672">
        <v>988749761</v>
      </c>
    </row>
    <row r="673" spans="1:20" x14ac:dyDescent="0.3">
      <c r="A673">
        <v>1536302</v>
      </c>
      <c r="B673" t="s">
        <v>3042</v>
      </c>
      <c r="C673" t="s">
        <v>3043</v>
      </c>
      <c r="D673" t="s">
        <v>3029</v>
      </c>
      <c r="E673" t="s">
        <v>3030</v>
      </c>
      <c r="F673">
        <v>2017</v>
      </c>
      <c r="G673" t="s">
        <v>3044</v>
      </c>
      <c r="H673" t="s">
        <v>3045</v>
      </c>
      <c r="I673" t="s">
        <v>3046</v>
      </c>
      <c r="J673" t="s">
        <v>24</v>
      </c>
      <c r="K673" t="s">
        <v>25</v>
      </c>
      <c r="L673" t="b">
        <v>1</v>
      </c>
      <c r="M673" t="s">
        <v>3047</v>
      </c>
      <c r="N673" t="str">
        <f>"401/.43"</f>
        <v>401/.43</v>
      </c>
      <c r="O673" t="s">
        <v>3048</v>
      </c>
      <c r="P673" t="b">
        <v>0</v>
      </c>
      <c r="R673" t="str">
        <f>"9789027256812"</f>
        <v>9789027256812</v>
      </c>
      <c r="S673" t="str">
        <f>"9789027265487"</f>
        <v>9789027265487</v>
      </c>
      <c r="T673">
        <v>989520216</v>
      </c>
    </row>
    <row r="674" spans="1:20" x14ac:dyDescent="0.3">
      <c r="A674">
        <v>1536301</v>
      </c>
      <c r="B674" t="s">
        <v>3049</v>
      </c>
      <c r="C674" t="s">
        <v>3050</v>
      </c>
      <c r="D674" t="s">
        <v>3029</v>
      </c>
      <c r="E674" t="s">
        <v>3030</v>
      </c>
      <c r="F674">
        <v>2017</v>
      </c>
      <c r="G674" t="s">
        <v>186</v>
      </c>
      <c r="H674" t="s">
        <v>3051</v>
      </c>
      <c r="I674" t="s">
        <v>3052</v>
      </c>
      <c r="J674" t="s">
        <v>24</v>
      </c>
      <c r="K674" t="s">
        <v>25</v>
      </c>
      <c r="L674" t="b">
        <v>1</v>
      </c>
      <c r="M674" t="s">
        <v>3053</v>
      </c>
      <c r="N674" t="str">
        <f>"398.09"</f>
        <v>398.09</v>
      </c>
      <c r="O674" t="s">
        <v>3054</v>
      </c>
      <c r="P674" t="b">
        <v>0</v>
      </c>
      <c r="R674" t="str">
        <f>"9789027201621"</f>
        <v>9789027201621</v>
      </c>
      <c r="S674" t="str">
        <f>"9789027265456"</f>
        <v>9789027265456</v>
      </c>
      <c r="T674">
        <v>989811451</v>
      </c>
    </row>
    <row r="675" spans="1:20" x14ac:dyDescent="0.3">
      <c r="A675">
        <v>1536286</v>
      </c>
      <c r="B675" t="s">
        <v>3055</v>
      </c>
      <c r="D675" t="s">
        <v>2597</v>
      </c>
      <c r="E675" t="s">
        <v>2598</v>
      </c>
      <c r="F675">
        <v>2017</v>
      </c>
      <c r="J675" t="s">
        <v>24</v>
      </c>
      <c r="K675" t="s">
        <v>25</v>
      </c>
      <c r="L675" t="b">
        <v>1</v>
      </c>
      <c r="M675" t="s">
        <v>3056</v>
      </c>
      <c r="P675" t="b">
        <v>0</v>
      </c>
      <c r="R675" t="str">
        <f>"9781484302156"</f>
        <v>9781484302156</v>
      </c>
      <c r="S675" t="str">
        <f>"9781484302347"</f>
        <v>9781484302347</v>
      </c>
    </row>
    <row r="676" spans="1:20" x14ac:dyDescent="0.3">
      <c r="A676">
        <v>1536284</v>
      </c>
      <c r="B676" t="s">
        <v>3057</v>
      </c>
      <c r="D676" t="s">
        <v>2597</v>
      </c>
      <c r="E676" t="s">
        <v>2598</v>
      </c>
      <c r="F676">
        <v>2017</v>
      </c>
      <c r="J676" t="s">
        <v>24</v>
      </c>
      <c r="K676" t="s">
        <v>25</v>
      </c>
      <c r="L676" t="b">
        <v>1</v>
      </c>
      <c r="M676" t="s">
        <v>3058</v>
      </c>
      <c r="P676" t="b">
        <v>0</v>
      </c>
      <c r="R676" t="str">
        <f>"9781475595741"</f>
        <v>9781475595741</v>
      </c>
      <c r="S676" t="str">
        <f>"9781484302538"</f>
        <v>9781484302538</v>
      </c>
    </row>
    <row r="677" spans="1:20" x14ac:dyDescent="0.3">
      <c r="A677">
        <v>1536283</v>
      </c>
      <c r="B677" t="s">
        <v>3059</v>
      </c>
      <c r="D677" t="s">
        <v>2597</v>
      </c>
      <c r="E677" t="s">
        <v>2598</v>
      </c>
      <c r="F677">
        <v>2017</v>
      </c>
      <c r="J677" t="s">
        <v>24</v>
      </c>
      <c r="K677" t="s">
        <v>25</v>
      </c>
      <c r="L677" t="b">
        <v>1</v>
      </c>
      <c r="M677" t="s">
        <v>3060</v>
      </c>
      <c r="P677" t="b">
        <v>0</v>
      </c>
      <c r="R677" t="str">
        <f>"9781484302101"</f>
        <v>9781484302101</v>
      </c>
      <c r="S677" t="str">
        <f>"9781484302309"</f>
        <v>9781484302309</v>
      </c>
    </row>
    <row r="678" spans="1:20" x14ac:dyDescent="0.3">
      <c r="A678">
        <v>1536282</v>
      </c>
      <c r="B678" t="s">
        <v>3061</v>
      </c>
      <c r="D678" t="s">
        <v>2597</v>
      </c>
      <c r="E678" t="s">
        <v>2598</v>
      </c>
      <c r="F678">
        <v>2017</v>
      </c>
      <c r="J678" t="s">
        <v>24</v>
      </c>
      <c r="K678" t="s">
        <v>25</v>
      </c>
      <c r="L678" t="b">
        <v>1</v>
      </c>
      <c r="M678" t="s">
        <v>3062</v>
      </c>
      <c r="P678" t="b">
        <v>0</v>
      </c>
      <c r="R678" t="str">
        <f>"9781484300701"</f>
        <v>9781484300701</v>
      </c>
      <c r="S678" t="str">
        <f>"9781484302613"</f>
        <v>9781484302613</v>
      </c>
    </row>
    <row r="679" spans="1:20" x14ac:dyDescent="0.3">
      <c r="A679">
        <v>1536281</v>
      </c>
      <c r="B679" t="s">
        <v>3063</v>
      </c>
      <c r="D679" t="s">
        <v>2597</v>
      </c>
      <c r="E679" t="s">
        <v>2598</v>
      </c>
      <c r="F679">
        <v>2017</v>
      </c>
      <c r="J679" t="s">
        <v>24</v>
      </c>
      <c r="K679" t="s">
        <v>25</v>
      </c>
      <c r="L679" t="b">
        <v>1</v>
      </c>
      <c r="M679" t="s">
        <v>3064</v>
      </c>
      <c r="P679" t="b">
        <v>0</v>
      </c>
      <c r="R679" t="str">
        <f>"9781484300671"</f>
        <v>9781484300671</v>
      </c>
      <c r="S679" t="str">
        <f>"9781484302446"</f>
        <v>9781484302446</v>
      </c>
    </row>
    <row r="680" spans="1:20" x14ac:dyDescent="0.3">
      <c r="A680">
        <v>1535892</v>
      </c>
      <c r="B680" t="s">
        <v>3065</v>
      </c>
      <c r="C680" t="s">
        <v>3066</v>
      </c>
      <c r="D680" t="s">
        <v>3067</v>
      </c>
      <c r="E680" t="s">
        <v>3067</v>
      </c>
      <c r="F680">
        <v>2017</v>
      </c>
      <c r="G680" t="s">
        <v>3068</v>
      </c>
      <c r="H680" t="s">
        <v>3069</v>
      </c>
      <c r="I680" t="s">
        <v>3070</v>
      </c>
      <c r="J680" t="s">
        <v>24</v>
      </c>
      <c r="K680" t="s">
        <v>269</v>
      </c>
      <c r="L680" t="b">
        <v>1</v>
      </c>
      <c r="M680" t="s">
        <v>3071</v>
      </c>
      <c r="N680" t="str">
        <f>"005.369"</f>
        <v>005.369</v>
      </c>
      <c r="O680" t="s">
        <v>3072</v>
      </c>
      <c r="P680" t="b">
        <v>0</v>
      </c>
      <c r="R680" t="str">
        <f>"9781631579431"</f>
        <v>9781631579431</v>
      </c>
      <c r="S680" t="str">
        <f>"9781631579448"</f>
        <v>9781631579448</v>
      </c>
      <c r="T680">
        <v>992804444</v>
      </c>
    </row>
    <row r="681" spans="1:20" x14ac:dyDescent="0.3">
      <c r="A681">
        <v>1535685</v>
      </c>
      <c r="B681" t="s">
        <v>3073</v>
      </c>
      <c r="D681" t="s">
        <v>1482</v>
      </c>
      <c r="E681" t="s">
        <v>1482</v>
      </c>
      <c r="F681">
        <v>2017</v>
      </c>
      <c r="G681" t="s">
        <v>3074</v>
      </c>
      <c r="H681" t="s">
        <v>3075</v>
      </c>
      <c r="I681" t="s">
        <v>3076</v>
      </c>
      <c r="J681" t="s">
        <v>24</v>
      </c>
      <c r="K681" t="s">
        <v>25</v>
      </c>
      <c r="L681" t="b">
        <v>1</v>
      </c>
      <c r="M681" t="s">
        <v>3077</v>
      </c>
      <c r="N681" t="str">
        <f>"720.94709045"</f>
        <v>720.94709045</v>
      </c>
      <c r="P681" t="b">
        <v>0</v>
      </c>
      <c r="R681" t="str">
        <f>"9781526114860"</f>
        <v>9781526114860</v>
      </c>
      <c r="S681" t="str">
        <f>"9781526114877"</f>
        <v>9781526114877</v>
      </c>
      <c r="T681">
        <v>990187263</v>
      </c>
    </row>
    <row r="682" spans="1:20" x14ac:dyDescent="0.3">
      <c r="A682">
        <v>1535671</v>
      </c>
      <c r="B682" t="s">
        <v>3078</v>
      </c>
      <c r="C682" t="s">
        <v>3079</v>
      </c>
      <c r="D682" t="s">
        <v>3080</v>
      </c>
      <c r="E682" t="s">
        <v>3081</v>
      </c>
      <c r="F682">
        <v>2017</v>
      </c>
      <c r="G682" t="s">
        <v>3082</v>
      </c>
      <c r="H682" t="s">
        <v>3083</v>
      </c>
      <c r="I682" t="s">
        <v>3084</v>
      </c>
      <c r="J682" t="s">
        <v>24</v>
      </c>
      <c r="K682" t="s">
        <v>269</v>
      </c>
      <c r="L682" t="b">
        <v>1</v>
      </c>
      <c r="M682" t="s">
        <v>3085</v>
      </c>
      <c r="N682" t="str">
        <f>"636.7089"</f>
        <v>636.7089</v>
      </c>
      <c r="P682" t="b">
        <v>0</v>
      </c>
      <c r="Q682" t="b">
        <v>0</v>
      </c>
      <c r="R682" t="str">
        <f>"9781910455722"</f>
        <v>9781910455722</v>
      </c>
      <c r="S682" t="str">
        <f>"9781912178315"</f>
        <v>9781912178315</v>
      </c>
      <c r="T682">
        <v>990546040</v>
      </c>
    </row>
    <row r="683" spans="1:20" x14ac:dyDescent="0.3">
      <c r="A683">
        <v>1535630</v>
      </c>
      <c r="B683" t="s">
        <v>3086</v>
      </c>
      <c r="C683" t="s">
        <v>3087</v>
      </c>
      <c r="D683" t="s">
        <v>3088</v>
      </c>
      <c r="E683" t="s">
        <v>3088</v>
      </c>
      <c r="F683">
        <v>2017</v>
      </c>
      <c r="G683" t="s">
        <v>2650</v>
      </c>
      <c r="H683" t="s">
        <v>3089</v>
      </c>
      <c r="I683" t="s">
        <v>3090</v>
      </c>
      <c r="J683" t="s">
        <v>24</v>
      </c>
      <c r="K683" t="s">
        <v>25</v>
      </c>
      <c r="L683" t="b">
        <v>1</v>
      </c>
      <c r="M683" t="s">
        <v>3091</v>
      </c>
      <c r="N683" t="str">
        <f>"658.3"</f>
        <v>658.3</v>
      </c>
      <c r="P683" t="b">
        <v>0</v>
      </c>
      <c r="Q683" t="b">
        <v>0</v>
      </c>
      <c r="R683" t="str">
        <f>"9781681238678"</f>
        <v>9781681238678</v>
      </c>
      <c r="S683" t="str">
        <f>"9781681238692"</f>
        <v>9781681238692</v>
      </c>
      <c r="T683">
        <v>988581086</v>
      </c>
    </row>
    <row r="684" spans="1:20" x14ac:dyDescent="0.3">
      <c r="A684">
        <v>1535628</v>
      </c>
      <c r="B684" t="s">
        <v>3092</v>
      </c>
      <c r="C684" t="s">
        <v>3093</v>
      </c>
      <c r="D684" t="s">
        <v>3088</v>
      </c>
      <c r="E684" t="s">
        <v>3088</v>
      </c>
      <c r="F684">
        <v>2017</v>
      </c>
      <c r="G684" t="s">
        <v>851</v>
      </c>
      <c r="H684" t="s">
        <v>3094</v>
      </c>
      <c r="I684" t="s">
        <v>3095</v>
      </c>
      <c r="J684" t="s">
        <v>24</v>
      </c>
      <c r="K684" t="s">
        <v>269</v>
      </c>
      <c r="L684" t="b">
        <v>1</v>
      </c>
      <c r="M684" t="s">
        <v>3096</v>
      </c>
      <c r="N684" t="str">
        <f>"305.80071"</f>
        <v>305.80071</v>
      </c>
      <c r="O684" t="s">
        <v>3097</v>
      </c>
      <c r="P684" t="b">
        <v>0</v>
      </c>
      <c r="Q684" t="b">
        <v>0</v>
      </c>
      <c r="R684" t="str">
        <f>"9781681238906"</f>
        <v>9781681238906</v>
      </c>
      <c r="S684" t="str">
        <f>"9781681238920"</f>
        <v>9781681238920</v>
      </c>
      <c r="T684">
        <v>990267908</v>
      </c>
    </row>
    <row r="685" spans="1:20" x14ac:dyDescent="0.3">
      <c r="A685">
        <v>1535627</v>
      </c>
      <c r="B685" t="s">
        <v>3098</v>
      </c>
      <c r="D685" t="s">
        <v>3088</v>
      </c>
      <c r="E685" t="s">
        <v>3088</v>
      </c>
      <c r="F685">
        <v>2017</v>
      </c>
      <c r="G685" t="s">
        <v>2650</v>
      </c>
      <c r="H685" t="s">
        <v>3099</v>
      </c>
      <c r="I685" t="s">
        <v>3100</v>
      </c>
      <c r="J685" t="s">
        <v>24</v>
      </c>
      <c r="K685" t="s">
        <v>25</v>
      </c>
      <c r="L685" t="b">
        <v>1</v>
      </c>
      <c r="M685" t="s">
        <v>3101</v>
      </c>
      <c r="N685" t="str">
        <f>"658.3008"</f>
        <v>658.3008</v>
      </c>
      <c r="P685" t="b">
        <v>0</v>
      </c>
      <c r="Q685" t="b">
        <v>0</v>
      </c>
      <c r="R685" t="str">
        <f>"9781681238760"</f>
        <v>9781681238760</v>
      </c>
      <c r="S685" t="str">
        <f>"9781681238784"</f>
        <v>9781681238784</v>
      </c>
      <c r="T685">
        <v>988174969</v>
      </c>
    </row>
    <row r="686" spans="1:20" x14ac:dyDescent="0.3">
      <c r="A686">
        <v>1534567</v>
      </c>
      <c r="B686" t="s">
        <v>3102</v>
      </c>
      <c r="D686" t="s">
        <v>817</v>
      </c>
      <c r="E686" t="s">
        <v>818</v>
      </c>
      <c r="F686">
        <v>2009</v>
      </c>
      <c r="G686" t="s">
        <v>3103</v>
      </c>
      <c r="J686" t="s">
        <v>24</v>
      </c>
      <c r="K686" t="s">
        <v>55</v>
      </c>
      <c r="L686" t="b">
        <v>1</v>
      </c>
      <c r="M686" t="s">
        <v>825</v>
      </c>
      <c r="P686" t="b">
        <v>0</v>
      </c>
      <c r="R686" t="str">
        <f>"9781423203100"</f>
        <v>9781423203100</v>
      </c>
      <c r="S686" t="str">
        <f>"9781423202943"</f>
        <v>9781423202943</v>
      </c>
    </row>
    <row r="687" spans="1:20" x14ac:dyDescent="0.3">
      <c r="A687">
        <v>1534282</v>
      </c>
      <c r="B687" t="s">
        <v>3104</v>
      </c>
      <c r="D687" t="s">
        <v>817</v>
      </c>
      <c r="E687" t="s">
        <v>818</v>
      </c>
      <c r="F687">
        <v>2009</v>
      </c>
      <c r="G687" t="s">
        <v>2343</v>
      </c>
      <c r="J687" t="s">
        <v>24</v>
      </c>
      <c r="K687" t="s">
        <v>55</v>
      </c>
      <c r="L687" t="b">
        <v>1</v>
      </c>
      <c r="M687" t="s">
        <v>825</v>
      </c>
      <c r="P687" t="b">
        <v>0</v>
      </c>
      <c r="R687" t="str">
        <f>"9781423218654"</f>
        <v>9781423218654</v>
      </c>
      <c r="S687" t="str">
        <f>"9781423212089"</f>
        <v>9781423212089</v>
      </c>
    </row>
    <row r="688" spans="1:20" x14ac:dyDescent="0.3">
      <c r="A688">
        <v>1534127</v>
      </c>
      <c r="B688" t="s">
        <v>3105</v>
      </c>
      <c r="D688" t="s">
        <v>817</v>
      </c>
      <c r="E688" t="s">
        <v>818</v>
      </c>
      <c r="F688">
        <v>2009</v>
      </c>
      <c r="G688" t="s">
        <v>2343</v>
      </c>
      <c r="J688" t="s">
        <v>24</v>
      </c>
      <c r="K688" t="s">
        <v>55</v>
      </c>
      <c r="L688" t="b">
        <v>1</v>
      </c>
      <c r="M688" t="s">
        <v>3106</v>
      </c>
      <c r="P688" t="b">
        <v>0</v>
      </c>
      <c r="R688" t="str">
        <f>"9781423225331"</f>
        <v>9781423225331</v>
      </c>
      <c r="S688" t="str">
        <f>"9781423228264"</f>
        <v>9781423228264</v>
      </c>
    </row>
    <row r="689" spans="1:20" x14ac:dyDescent="0.3">
      <c r="A689">
        <v>1533583</v>
      </c>
      <c r="B689" t="s">
        <v>3107</v>
      </c>
      <c r="C689" t="s">
        <v>3108</v>
      </c>
      <c r="D689" t="s">
        <v>1482</v>
      </c>
      <c r="E689" t="s">
        <v>1482</v>
      </c>
      <c r="F689">
        <v>2017</v>
      </c>
      <c r="G689" t="s">
        <v>3109</v>
      </c>
      <c r="H689" t="s">
        <v>3110</v>
      </c>
      <c r="I689" t="s">
        <v>3111</v>
      </c>
      <c r="J689" t="s">
        <v>24</v>
      </c>
      <c r="K689" t="s">
        <v>269</v>
      </c>
      <c r="L689" t="b">
        <v>1</v>
      </c>
      <c r="M689" t="s">
        <v>3112</v>
      </c>
      <c r="N689" t="str">
        <f>"320.53094109034"</f>
        <v>320.53094109034</v>
      </c>
      <c r="P689" t="b">
        <v>0</v>
      </c>
      <c r="R689" t="str">
        <f>"9781526114754"</f>
        <v>9781526114754</v>
      </c>
      <c r="S689" t="str">
        <f>"9781526114761"</f>
        <v>9781526114761</v>
      </c>
      <c r="T689">
        <v>989821289</v>
      </c>
    </row>
    <row r="690" spans="1:20" x14ac:dyDescent="0.3">
      <c r="A690">
        <v>1533571</v>
      </c>
      <c r="B690" t="s">
        <v>3113</v>
      </c>
      <c r="C690" t="s">
        <v>3114</v>
      </c>
      <c r="D690" t="s">
        <v>3115</v>
      </c>
      <c r="E690" t="s">
        <v>3116</v>
      </c>
      <c r="F690">
        <v>2017</v>
      </c>
      <c r="G690" t="s">
        <v>3117</v>
      </c>
      <c r="H690" t="s">
        <v>3118</v>
      </c>
      <c r="I690" t="s">
        <v>3119</v>
      </c>
      <c r="J690" t="s">
        <v>24</v>
      </c>
      <c r="K690" t="s">
        <v>25</v>
      </c>
      <c r="L690" t="b">
        <v>1</v>
      </c>
      <c r="M690" t="s">
        <v>2391</v>
      </c>
      <c r="N690" t="str">
        <f>"947.98/004924"</f>
        <v>947.98/004924</v>
      </c>
      <c r="P690" t="b">
        <v>0</v>
      </c>
      <c r="Q690" t="b">
        <v>0</v>
      </c>
      <c r="R690" t="str">
        <f>"9789633861653"</f>
        <v>9789633861653</v>
      </c>
      <c r="S690" t="str">
        <f>"9789633861660"</f>
        <v>9789633861660</v>
      </c>
      <c r="T690">
        <v>986885837</v>
      </c>
    </row>
    <row r="691" spans="1:20" x14ac:dyDescent="0.3">
      <c r="A691">
        <v>1532928</v>
      </c>
      <c r="B691" t="s">
        <v>3120</v>
      </c>
      <c r="D691" t="s">
        <v>3029</v>
      </c>
      <c r="E691" t="s">
        <v>3030</v>
      </c>
      <c r="F691">
        <v>2017</v>
      </c>
      <c r="G691" t="s">
        <v>3121</v>
      </c>
      <c r="H691" t="s">
        <v>3122</v>
      </c>
      <c r="I691" t="s">
        <v>3123</v>
      </c>
      <c r="J691" t="s">
        <v>24</v>
      </c>
      <c r="K691" t="s">
        <v>25</v>
      </c>
      <c r="L691" t="b">
        <v>1</v>
      </c>
      <c r="M691" t="s">
        <v>3124</v>
      </c>
      <c r="N691" t="str">
        <f>"491/.925"</f>
        <v>491/.925</v>
      </c>
      <c r="O691" t="s">
        <v>3125</v>
      </c>
      <c r="P691" t="b">
        <v>0</v>
      </c>
      <c r="R691" t="str">
        <f>"9789027259127"</f>
        <v>9789027259127</v>
      </c>
      <c r="S691" t="str">
        <f>"9789027267429"</f>
        <v>9789027267429</v>
      </c>
      <c r="T691">
        <v>984899079</v>
      </c>
    </row>
    <row r="692" spans="1:20" x14ac:dyDescent="0.3">
      <c r="A692">
        <v>1532925</v>
      </c>
      <c r="B692" t="s">
        <v>3126</v>
      </c>
      <c r="C692" t="s">
        <v>3127</v>
      </c>
      <c r="D692" t="s">
        <v>3029</v>
      </c>
      <c r="E692" t="s">
        <v>3030</v>
      </c>
      <c r="F692">
        <v>2017</v>
      </c>
      <c r="G692" t="s">
        <v>3121</v>
      </c>
      <c r="H692" t="s">
        <v>3128</v>
      </c>
      <c r="I692" t="s">
        <v>3129</v>
      </c>
      <c r="J692" t="s">
        <v>24</v>
      </c>
      <c r="K692" t="s">
        <v>25</v>
      </c>
      <c r="L692" t="b">
        <v>1</v>
      </c>
      <c r="M692" t="s">
        <v>3130</v>
      </c>
      <c r="N692" t="str">
        <f>"495.65"</f>
        <v>495.65</v>
      </c>
      <c r="O692" t="s">
        <v>3131</v>
      </c>
      <c r="P692" t="b">
        <v>0</v>
      </c>
      <c r="R692" t="str">
        <f>"9789027257239"</f>
        <v>9789027257239</v>
      </c>
      <c r="S692" t="str">
        <f>"9789027265630"</f>
        <v>9789027265630</v>
      </c>
      <c r="T692">
        <v>988749763</v>
      </c>
    </row>
    <row r="693" spans="1:20" x14ac:dyDescent="0.3">
      <c r="A693">
        <v>1532924</v>
      </c>
      <c r="B693" t="s">
        <v>3132</v>
      </c>
      <c r="D693" t="s">
        <v>3029</v>
      </c>
      <c r="E693" t="s">
        <v>3030</v>
      </c>
      <c r="F693">
        <v>2017</v>
      </c>
      <c r="G693" t="s">
        <v>3044</v>
      </c>
      <c r="H693" t="s">
        <v>3133</v>
      </c>
      <c r="I693" t="s">
        <v>3134</v>
      </c>
      <c r="J693" t="s">
        <v>24</v>
      </c>
      <c r="K693" t="s">
        <v>25</v>
      </c>
      <c r="L693" t="b">
        <v>1</v>
      </c>
      <c r="M693" t="s">
        <v>3135</v>
      </c>
      <c r="N693" t="str">
        <f>"809.7"</f>
        <v>809.7</v>
      </c>
      <c r="O693" t="s">
        <v>3136</v>
      </c>
      <c r="P693" t="b">
        <v>0</v>
      </c>
      <c r="R693" t="str">
        <f>"9789027202338"</f>
        <v>9789027202338</v>
      </c>
      <c r="S693" t="str">
        <f>"9789027265500"</f>
        <v>9789027265500</v>
      </c>
      <c r="T693">
        <v>988749636</v>
      </c>
    </row>
    <row r="694" spans="1:20" x14ac:dyDescent="0.3">
      <c r="A694">
        <v>1532923</v>
      </c>
      <c r="B694" t="s">
        <v>3137</v>
      </c>
      <c r="C694" t="s">
        <v>3138</v>
      </c>
      <c r="D694" t="s">
        <v>3029</v>
      </c>
      <c r="E694" t="s">
        <v>3030</v>
      </c>
      <c r="F694">
        <v>2017</v>
      </c>
      <c r="G694" t="s">
        <v>174</v>
      </c>
      <c r="H694" t="s">
        <v>3139</v>
      </c>
      <c r="I694" t="s">
        <v>3140</v>
      </c>
      <c r="J694" t="s">
        <v>24</v>
      </c>
      <c r="K694" t="s">
        <v>25</v>
      </c>
      <c r="L694" t="b">
        <v>1</v>
      </c>
      <c r="M694" t="s">
        <v>3141</v>
      </c>
      <c r="N694" t="str">
        <f>"851/.1"</f>
        <v>851/.1</v>
      </c>
      <c r="P694" t="b">
        <v>0</v>
      </c>
      <c r="R694" t="str">
        <f>"9789027212511"</f>
        <v>9789027212511</v>
      </c>
      <c r="S694" t="str">
        <f>"9789027265401"</f>
        <v>9789027265401</v>
      </c>
      <c r="T694">
        <v>987909783</v>
      </c>
    </row>
    <row r="695" spans="1:20" x14ac:dyDescent="0.3">
      <c r="A695">
        <v>1532922</v>
      </c>
      <c r="B695" t="s">
        <v>3142</v>
      </c>
      <c r="C695" t="s">
        <v>3143</v>
      </c>
      <c r="D695" t="s">
        <v>3029</v>
      </c>
      <c r="E695" t="s">
        <v>3030</v>
      </c>
      <c r="F695">
        <v>2017</v>
      </c>
      <c r="G695" t="s">
        <v>3144</v>
      </c>
      <c r="H695" t="s">
        <v>3145</v>
      </c>
      <c r="I695" t="s">
        <v>3146</v>
      </c>
      <c r="J695" t="s">
        <v>24</v>
      </c>
      <c r="K695" t="s">
        <v>25</v>
      </c>
      <c r="L695" t="b">
        <v>1</v>
      </c>
      <c r="M695" t="s">
        <v>3147</v>
      </c>
      <c r="N695" t="str">
        <f>"306.44/9"</f>
        <v>306.44/9</v>
      </c>
      <c r="O695" t="s">
        <v>3148</v>
      </c>
      <c r="P695" t="b">
        <v>0</v>
      </c>
      <c r="R695" t="str">
        <f>"9789027242792"</f>
        <v>9789027242792</v>
      </c>
      <c r="S695" t="str">
        <f>"9789027265166"</f>
        <v>9789027265166</v>
      </c>
      <c r="T695">
        <v>990142094</v>
      </c>
    </row>
    <row r="696" spans="1:20" x14ac:dyDescent="0.3">
      <c r="A696">
        <v>1532758</v>
      </c>
      <c r="B696" t="s">
        <v>3149</v>
      </c>
      <c r="C696" t="s">
        <v>3150</v>
      </c>
      <c r="D696" t="s">
        <v>3151</v>
      </c>
      <c r="E696" t="s">
        <v>3152</v>
      </c>
      <c r="F696">
        <v>2017</v>
      </c>
      <c r="G696" t="s">
        <v>3153</v>
      </c>
      <c r="H696" t="s">
        <v>3154</v>
      </c>
      <c r="I696" t="s">
        <v>3155</v>
      </c>
      <c r="J696" t="s">
        <v>24</v>
      </c>
      <c r="K696" t="s">
        <v>25</v>
      </c>
      <c r="L696" t="b">
        <v>1</v>
      </c>
      <c r="M696" t="s">
        <v>3156</v>
      </c>
      <c r="N696" t="str">
        <f>"371.90973"</f>
        <v>371.90973</v>
      </c>
      <c r="P696" t="b">
        <v>0</v>
      </c>
      <c r="Q696" t="b">
        <v>0</v>
      </c>
      <c r="R696" t="str">
        <f>"9780398091736"</f>
        <v>9780398091736</v>
      </c>
      <c r="S696" t="str">
        <f>"9780398091743"</f>
        <v>9780398091743</v>
      </c>
      <c r="T696">
        <v>987437372</v>
      </c>
    </row>
    <row r="697" spans="1:20" x14ac:dyDescent="0.3">
      <c r="A697">
        <v>1532441</v>
      </c>
      <c r="B697" t="s">
        <v>3157</v>
      </c>
      <c r="D697" t="s">
        <v>3158</v>
      </c>
      <c r="E697" t="s">
        <v>3158</v>
      </c>
      <c r="F697">
        <v>2017</v>
      </c>
      <c r="G697" t="s">
        <v>3159</v>
      </c>
      <c r="H697" t="s">
        <v>3160</v>
      </c>
      <c r="I697" t="s">
        <v>3161</v>
      </c>
      <c r="J697" t="s">
        <v>24</v>
      </c>
      <c r="K697" t="s">
        <v>25</v>
      </c>
      <c r="L697" t="b">
        <v>1</v>
      </c>
      <c r="M697" t="s">
        <v>3162</v>
      </c>
      <c r="N697" t="str">
        <f>"390"</f>
        <v>390</v>
      </c>
      <c r="P697" t="b">
        <v>0</v>
      </c>
      <c r="R697" t="str">
        <f>"9783830936091"</f>
        <v>9783830936091</v>
      </c>
      <c r="S697" t="str">
        <f>"9783830986096"</f>
        <v>9783830986096</v>
      </c>
      <c r="T697">
        <v>990033370</v>
      </c>
    </row>
    <row r="698" spans="1:20" x14ac:dyDescent="0.3">
      <c r="A698">
        <v>1532435</v>
      </c>
      <c r="B698" t="s">
        <v>3163</v>
      </c>
      <c r="C698" t="s">
        <v>3164</v>
      </c>
      <c r="D698" t="s">
        <v>3158</v>
      </c>
      <c r="E698" t="s">
        <v>3158</v>
      </c>
      <c r="F698">
        <v>2017</v>
      </c>
      <c r="G698" t="s">
        <v>3165</v>
      </c>
      <c r="H698" t="s">
        <v>3166</v>
      </c>
      <c r="I698" t="s">
        <v>3167</v>
      </c>
      <c r="J698" t="s">
        <v>2437</v>
      </c>
      <c r="K698" t="s">
        <v>25</v>
      </c>
      <c r="L698" t="b">
        <v>1</v>
      </c>
      <c r="M698" t="s">
        <v>3168</v>
      </c>
      <c r="N698" t="str">
        <f>"370.943155"</f>
        <v>370.943155</v>
      </c>
      <c r="P698" t="b">
        <v>0</v>
      </c>
      <c r="R698" t="str">
        <f>"9783830936282"</f>
        <v>9783830936282</v>
      </c>
      <c r="S698" t="str">
        <f>"9783830986287"</f>
        <v>9783830986287</v>
      </c>
      <c r="T698">
        <v>990027668</v>
      </c>
    </row>
    <row r="699" spans="1:20" x14ac:dyDescent="0.3">
      <c r="A699">
        <v>1531901</v>
      </c>
      <c r="B699" t="s">
        <v>3169</v>
      </c>
      <c r="C699" t="s">
        <v>3170</v>
      </c>
      <c r="D699" t="s">
        <v>3029</v>
      </c>
      <c r="E699" t="s">
        <v>3030</v>
      </c>
      <c r="F699">
        <v>2017</v>
      </c>
      <c r="G699" t="s">
        <v>3121</v>
      </c>
      <c r="H699" t="s">
        <v>3171</v>
      </c>
      <c r="I699" t="s">
        <v>3172</v>
      </c>
      <c r="J699" t="s">
        <v>24</v>
      </c>
      <c r="K699" t="s">
        <v>25</v>
      </c>
      <c r="L699" t="b">
        <v>1</v>
      </c>
      <c r="M699" t="s">
        <v>3173</v>
      </c>
      <c r="N699" t="str">
        <f>"415"</f>
        <v>415</v>
      </c>
      <c r="O699" t="s">
        <v>3174</v>
      </c>
      <c r="P699" t="b">
        <v>0</v>
      </c>
      <c r="R699" t="str">
        <f>"9789027206985"</f>
        <v>9789027206985</v>
      </c>
      <c r="S699" t="str">
        <f>"9789027265975"</f>
        <v>9789027265975</v>
      </c>
      <c r="T699">
        <v>985447923</v>
      </c>
    </row>
    <row r="700" spans="1:20" x14ac:dyDescent="0.3">
      <c r="A700">
        <v>1531900</v>
      </c>
      <c r="B700" t="s">
        <v>3175</v>
      </c>
      <c r="C700" t="s">
        <v>3176</v>
      </c>
      <c r="D700" t="s">
        <v>3029</v>
      </c>
      <c r="E700" t="s">
        <v>3030</v>
      </c>
      <c r="F700">
        <v>2017</v>
      </c>
      <c r="G700" t="s">
        <v>3177</v>
      </c>
      <c r="H700" t="s">
        <v>3178</v>
      </c>
      <c r="I700" t="s">
        <v>3179</v>
      </c>
      <c r="J700" t="s">
        <v>24</v>
      </c>
      <c r="K700" t="s">
        <v>25</v>
      </c>
      <c r="L700" t="b">
        <v>1</v>
      </c>
      <c r="M700" t="s">
        <v>3180</v>
      </c>
      <c r="N700" t="str">
        <f>"427/.95957"</f>
        <v>427/.95957</v>
      </c>
      <c r="O700" t="s">
        <v>3034</v>
      </c>
      <c r="P700" t="b">
        <v>0</v>
      </c>
      <c r="R700" t="str">
        <f>"9789027259486"</f>
        <v>9789027259486</v>
      </c>
      <c r="S700" t="str">
        <f>"9789027265944"</f>
        <v>9789027265944</v>
      </c>
      <c r="T700">
        <v>985447613</v>
      </c>
    </row>
    <row r="701" spans="1:20" x14ac:dyDescent="0.3">
      <c r="A701">
        <v>1531899</v>
      </c>
      <c r="B701" t="s">
        <v>3181</v>
      </c>
      <c r="C701" t="s">
        <v>3182</v>
      </c>
      <c r="D701" t="s">
        <v>3029</v>
      </c>
      <c r="E701" t="s">
        <v>3030</v>
      </c>
      <c r="F701">
        <v>2017</v>
      </c>
      <c r="G701" t="s">
        <v>3121</v>
      </c>
      <c r="H701" t="s">
        <v>3183</v>
      </c>
      <c r="I701" t="s">
        <v>3184</v>
      </c>
      <c r="J701" t="s">
        <v>24</v>
      </c>
      <c r="K701" t="s">
        <v>25</v>
      </c>
      <c r="L701" t="b">
        <v>1</v>
      </c>
      <c r="M701" t="s">
        <v>3185</v>
      </c>
      <c r="N701" t="str">
        <f>"415.01/822"</f>
        <v>415.01/822</v>
      </c>
      <c r="O701" t="s">
        <v>3186</v>
      </c>
      <c r="P701" t="b">
        <v>0</v>
      </c>
      <c r="R701" t="str">
        <f>"9789027257222"</f>
        <v>9789027257222</v>
      </c>
      <c r="S701" t="str">
        <f>"9789027265722"</f>
        <v>9789027265722</v>
      </c>
      <c r="T701">
        <v>987909708</v>
      </c>
    </row>
    <row r="702" spans="1:20" x14ac:dyDescent="0.3">
      <c r="A702">
        <v>1531898</v>
      </c>
      <c r="B702" t="s">
        <v>3187</v>
      </c>
      <c r="D702" t="s">
        <v>3029</v>
      </c>
      <c r="E702" t="s">
        <v>3030</v>
      </c>
      <c r="F702">
        <v>2017</v>
      </c>
      <c r="G702" t="s">
        <v>3037</v>
      </c>
      <c r="H702" t="s">
        <v>3188</v>
      </c>
      <c r="I702" t="s">
        <v>3189</v>
      </c>
      <c r="J702" t="s">
        <v>24</v>
      </c>
      <c r="K702" t="s">
        <v>25</v>
      </c>
      <c r="L702" t="b">
        <v>1</v>
      </c>
      <c r="M702" t="s">
        <v>3190</v>
      </c>
      <c r="N702" t="str">
        <f>"418/.02071"</f>
        <v>418/.02071</v>
      </c>
      <c r="O702" t="s">
        <v>3148</v>
      </c>
      <c r="P702" t="b">
        <v>0</v>
      </c>
      <c r="R702" t="str">
        <f>"9789027242785"</f>
        <v>9789027242785</v>
      </c>
      <c r="S702" t="str">
        <f>"9789027265203"</f>
        <v>9789027265203</v>
      </c>
      <c r="T702">
        <v>989726761</v>
      </c>
    </row>
    <row r="703" spans="1:20" x14ac:dyDescent="0.3">
      <c r="A703">
        <v>1531657</v>
      </c>
      <c r="B703" t="s">
        <v>3191</v>
      </c>
      <c r="D703" t="s">
        <v>2983</v>
      </c>
      <c r="E703" t="s">
        <v>2984</v>
      </c>
      <c r="F703">
        <v>2016</v>
      </c>
      <c r="J703" t="s">
        <v>442</v>
      </c>
      <c r="K703" t="s">
        <v>269</v>
      </c>
      <c r="L703" t="b">
        <v>1</v>
      </c>
      <c r="M703" t="s">
        <v>3192</v>
      </c>
      <c r="P703" t="b">
        <v>0</v>
      </c>
      <c r="R703" t="str">
        <f>"9789587416718"</f>
        <v>9789587416718</v>
      </c>
      <c r="S703" t="str">
        <f>"9789587416725"</f>
        <v>9789587416725</v>
      </c>
    </row>
    <row r="704" spans="1:20" x14ac:dyDescent="0.3">
      <c r="A704">
        <v>1531655</v>
      </c>
      <c r="B704" t="s">
        <v>3193</v>
      </c>
      <c r="D704" t="s">
        <v>2983</v>
      </c>
      <c r="E704" t="s">
        <v>2984</v>
      </c>
      <c r="F704">
        <v>2016</v>
      </c>
      <c r="J704" t="s">
        <v>580</v>
      </c>
      <c r="K704" t="s">
        <v>25</v>
      </c>
      <c r="L704" t="b">
        <v>1</v>
      </c>
      <c r="M704" t="s">
        <v>3194</v>
      </c>
      <c r="P704" t="b">
        <v>0</v>
      </c>
      <c r="R704" t="str">
        <f>"9789587416695"</f>
        <v>9789587416695</v>
      </c>
      <c r="S704" t="str">
        <f>"9789587416701"</f>
        <v>9789587416701</v>
      </c>
    </row>
    <row r="705" spans="1:20" x14ac:dyDescent="0.3">
      <c r="A705">
        <v>1531646</v>
      </c>
      <c r="B705" t="s">
        <v>3195</v>
      </c>
      <c r="D705" t="s">
        <v>2983</v>
      </c>
      <c r="E705" t="s">
        <v>2984</v>
      </c>
      <c r="F705">
        <v>2016</v>
      </c>
      <c r="G705" t="s">
        <v>3196</v>
      </c>
      <c r="H705" t="s">
        <v>3197</v>
      </c>
      <c r="I705" t="s">
        <v>3198</v>
      </c>
      <c r="J705" t="s">
        <v>580</v>
      </c>
      <c r="K705" t="s">
        <v>25</v>
      </c>
      <c r="L705" t="b">
        <v>1</v>
      </c>
      <c r="M705" t="s">
        <v>3199</v>
      </c>
      <c r="N705" t="str">
        <f>"516"</f>
        <v>516</v>
      </c>
      <c r="P705" t="b">
        <v>0</v>
      </c>
      <c r="R705" t="str">
        <f>"9789587416831"</f>
        <v>9789587416831</v>
      </c>
      <c r="S705" t="str">
        <f>"9789587415926"</f>
        <v>9789587415926</v>
      </c>
      <c r="T705">
        <v>961453388</v>
      </c>
    </row>
    <row r="706" spans="1:20" x14ac:dyDescent="0.3">
      <c r="A706">
        <v>1531643</v>
      </c>
      <c r="B706" t="s">
        <v>3200</v>
      </c>
      <c r="D706" t="s">
        <v>2983</v>
      </c>
      <c r="E706" t="s">
        <v>2984</v>
      </c>
      <c r="F706">
        <v>2016</v>
      </c>
      <c r="J706" t="s">
        <v>580</v>
      </c>
      <c r="K706" t="s">
        <v>269</v>
      </c>
      <c r="L706" t="b">
        <v>1</v>
      </c>
      <c r="M706" t="s">
        <v>3201</v>
      </c>
      <c r="P706" t="b">
        <v>0</v>
      </c>
      <c r="R706" t="str">
        <f>"9789587416893"</f>
        <v>9789587416893</v>
      </c>
      <c r="S706" t="str">
        <f>"9789587416909"</f>
        <v>9789587416909</v>
      </c>
    </row>
    <row r="707" spans="1:20" x14ac:dyDescent="0.3">
      <c r="A707">
        <v>1531640</v>
      </c>
      <c r="B707" t="s">
        <v>3202</v>
      </c>
      <c r="D707" t="s">
        <v>2983</v>
      </c>
      <c r="E707" t="s">
        <v>2984</v>
      </c>
      <c r="F707">
        <v>2016</v>
      </c>
      <c r="J707" t="s">
        <v>580</v>
      </c>
      <c r="K707" t="s">
        <v>269</v>
      </c>
      <c r="L707" t="b">
        <v>1</v>
      </c>
      <c r="M707" t="s">
        <v>3203</v>
      </c>
      <c r="P707" t="b">
        <v>0</v>
      </c>
      <c r="R707" t="str">
        <f>"9789587416732"</f>
        <v>9789587416732</v>
      </c>
      <c r="S707" t="str">
        <f>"9789587416749"</f>
        <v>9789587416749</v>
      </c>
    </row>
    <row r="708" spans="1:20" x14ac:dyDescent="0.3">
      <c r="A708">
        <v>1531631</v>
      </c>
      <c r="B708" t="s">
        <v>3204</v>
      </c>
      <c r="D708" t="s">
        <v>2983</v>
      </c>
      <c r="E708" t="s">
        <v>2984</v>
      </c>
      <c r="F708">
        <v>2016</v>
      </c>
      <c r="J708" t="s">
        <v>442</v>
      </c>
      <c r="K708" t="s">
        <v>269</v>
      </c>
      <c r="L708" t="b">
        <v>1</v>
      </c>
      <c r="M708" t="s">
        <v>3205</v>
      </c>
      <c r="P708" t="b">
        <v>0</v>
      </c>
      <c r="R708" t="str">
        <f>"9789587416640"</f>
        <v>9789587416640</v>
      </c>
      <c r="S708" t="str">
        <f>"9789587416657"</f>
        <v>9789587416657</v>
      </c>
    </row>
    <row r="709" spans="1:20" x14ac:dyDescent="0.3">
      <c r="A709">
        <v>1531629</v>
      </c>
      <c r="B709" t="s">
        <v>3206</v>
      </c>
      <c r="D709" t="s">
        <v>2983</v>
      </c>
      <c r="E709" t="s">
        <v>2984</v>
      </c>
      <c r="F709">
        <v>2016</v>
      </c>
      <c r="J709" t="s">
        <v>580</v>
      </c>
      <c r="K709" t="s">
        <v>269</v>
      </c>
      <c r="L709" t="b">
        <v>1</v>
      </c>
      <c r="M709" t="s">
        <v>3207</v>
      </c>
      <c r="P709" t="b">
        <v>0</v>
      </c>
      <c r="R709" t="str">
        <f>"9789587416664"</f>
        <v>9789587416664</v>
      </c>
      <c r="S709" t="str">
        <f>"9789587416671"</f>
        <v>9789587416671</v>
      </c>
    </row>
    <row r="710" spans="1:20" x14ac:dyDescent="0.3">
      <c r="A710">
        <v>1531288</v>
      </c>
      <c r="B710" t="s">
        <v>3208</v>
      </c>
      <c r="D710" t="s">
        <v>3209</v>
      </c>
      <c r="E710" t="s">
        <v>3210</v>
      </c>
      <c r="F710">
        <v>2017</v>
      </c>
      <c r="G710" t="s">
        <v>149</v>
      </c>
      <c r="H710" t="s">
        <v>3211</v>
      </c>
      <c r="I710" t="s">
        <v>3212</v>
      </c>
      <c r="J710" t="s">
        <v>24</v>
      </c>
      <c r="K710" t="s">
        <v>25</v>
      </c>
      <c r="L710" t="b">
        <v>1</v>
      </c>
      <c r="M710" t="s">
        <v>3213</v>
      </c>
      <c r="N710" t="str">
        <f>"821/.91"</f>
        <v>821/.91</v>
      </c>
      <c r="O710" t="s">
        <v>3214</v>
      </c>
      <c r="P710" t="b">
        <v>0</v>
      </c>
      <c r="Q710" t="b">
        <v>0</v>
      </c>
      <c r="R710" t="str">
        <f>"9781781880999"</f>
        <v>9781781880999</v>
      </c>
      <c r="S710" t="str">
        <f>"9781781887462"</f>
        <v>9781781887462</v>
      </c>
      <c r="T710">
        <v>989984075</v>
      </c>
    </row>
    <row r="711" spans="1:20" x14ac:dyDescent="0.3">
      <c r="A711">
        <v>1531049</v>
      </c>
      <c r="B711" t="s">
        <v>3215</v>
      </c>
      <c r="C711" t="s">
        <v>3216</v>
      </c>
      <c r="D711" t="s">
        <v>2860</v>
      </c>
      <c r="E711" t="s">
        <v>2860</v>
      </c>
      <c r="F711">
        <v>2017</v>
      </c>
      <c r="G711" t="s">
        <v>2879</v>
      </c>
      <c r="H711" t="s">
        <v>3217</v>
      </c>
      <c r="I711" t="s">
        <v>3218</v>
      </c>
      <c r="J711" t="s">
        <v>24</v>
      </c>
      <c r="K711" t="s">
        <v>25</v>
      </c>
      <c r="L711" t="b">
        <v>1</v>
      </c>
      <c r="M711" t="s">
        <v>3219</v>
      </c>
      <c r="N711" t="str">
        <f>"628.3/64"</f>
        <v>628.3/64</v>
      </c>
      <c r="O711" t="s">
        <v>3220</v>
      </c>
      <c r="P711" t="b">
        <v>0</v>
      </c>
      <c r="Q711" t="b">
        <v>0</v>
      </c>
      <c r="R711" t="str">
        <f>"9781536110722"</f>
        <v>9781536110722</v>
      </c>
      <c r="S711" t="str">
        <f>"9781536110821"</f>
        <v>9781536110821</v>
      </c>
      <c r="T711">
        <v>985447708</v>
      </c>
    </row>
    <row r="712" spans="1:20" x14ac:dyDescent="0.3">
      <c r="A712">
        <v>1531036</v>
      </c>
      <c r="B712" t="s">
        <v>3221</v>
      </c>
      <c r="D712" t="s">
        <v>2860</v>
      </c>
      <c r="E712" t="s">
        <v>2860</v>
      </c>
      <c r="F712">
        <v>2017</v>
      </c>
      <c r="G712" t="s">
        <v>2873</v>
      </c>
      <c r="H712" t="s">
        <v>3222</v>
      </c>
      <c r="I712" t="s">
        <v>3223</v>
      </c>
      <c r="J712" t="s">
        <v>24</v>
      </c>
      <c r="K712" t="s">
        <v>25</v>
      </c>
      <c r="L712" t="b">
        <v>1</v>
      </c>
      <c r="M712" t="s">
        <v>3224</v>
      </c>
      <c r="N712" t="str">
        <f>"577.072"</f>
        <v>577.072</v>
      </c>
      <c r="O712" t="s">
        <v>3221</v>
      </c>
      <c r="P712" t="b">
        <v>0</v>
      </c>
      <c r="Q712" t="b">
        <v>0</v>
      </c>
      <c r="R712" t="str">
        <f>"9781536118612"</f>
        <v>9781536118612</v>
      </c>
      <c r="S712" t="str">
        <f>"9781536118902"</f>
        <v>9781536118902</v>
      </c>
      <c r="T712">
        <v>989513225</v>
      </c>
    </row>
    <row r="713" spans="1:20" x14ac:dyDescent="0.3">
      <c r="A713">
        <v>1530921</v>
      </c>
      <c r="B713" t="s">
        <v>3225</v>
      </c>
      <c r="C713" t="s">
        <v>3226</v>
      </c>
      <c r="D713" t="s">
        <v>2860</v>
      </c>
      <c r="E713" t="s">
        <v>2860</v>
      </c>
      <c r="F713">
        <v>2017</v>
      </c>
      <c r="G713" t="s">
        <v>3227</v>
      </c>
      <c r="H713" t="s">
        <v>3228</v>
      </c>
      <c r="I713" t="s">
        <v>3229</v>
      </c>
      <c r="J713" t="s">
        <v>24</v>
      </c>
      <c r="K713" t="s">
        <v>25</v>
      </c>
      <c r="L713" t="b">
        <v>1</v>
      </c>
      <c r="M713" t="s">
        <v>3230</v>
      </c>
      <c r="N713" t="str">
        <f>"634.8"</f>
        <v>634.8</v>
      </c>
      <c r="O713" t="s">
        <v>3231</v>
      </c>
      <c r="P713" t="b">
        <v>0</v>
      </c>
      <c r="Q713" t="b">
        <v>0</v>
      </c>
      <c r="R713" t="str">
        <f>"9781536110685"</f>
        <v>9781536110685</v>
      </c>
      <c r="S713" t="str">
        <f>"9781536110906"</f>
        <v>9781536110906</v>
      </c>
      <c r="T713">
        <v>989513175</v>
      </c>
    </row>
    <row r="714" spans="1:20" x14ac:dyDescent="0.3">
      <c r="A714">
        <v>1530451</v>
      </c>
      <c r="B714" t="s">
        <v>3232</v>
      </c>
      <c r="D714" t="s">
        <v>2860</v>
      </c>
      <c r="E714" t="s">
        <v>2860</v>
      </c>
      <c r="F714">
        <v>2017</v>
      </c>
      <c r="G714" t="s">
        <v>2879</v>
      </c>
      <c r="H714" t="s">
        <v>3233</v>
      </c>
      <c r="I714" t="s">
        <v>3234</v>
      </c>
      <c r="J714" t="s">
        <v>24</v>
      </c>
      <c r="K714" t="s">
        <v>25</v>
      </c>
      <c r="L714" t="b">
        <v>1</v>
      </c>
      <c r="M714" t="s">
        <v>3235</v>
      </c>
      <c r="N714" t="str">
        <f>"628.1/6836"</f>
        <v>628.1/6836</v>
      </c>
      <c r="O714" t="s">
        <v>2883</v>
      </c>
      <c r="P714" t="b">
        <v>0</v>
      </c>
      <c r="Q714" t="b">
        <v>0</v>
      </c>
      <c r="R714" t="str">
        <f>"9781536110340"</f>
        <v>9781536110340</v>
      </c>
      <c r="S714" t="str">
        <f>"9781536110470"</f>
        <v>9781536110470</v>
      </c>
      <c r="T714">
        <v>987615916</v>
      </c>
    </row>
    <row r="715" spans="1:20" x14ac:dyDescent="0.3">
      <c r="A715">
        <v>1530448</v>
      </c>
      <c r="B715" t="s">
        <v>3236</v>
      </c>
      <c r="D715" t="s">
        <v>2860</v>
      </c>
      <c r="E715" t="s">
        <v>2860</v>
      </c>
      <c r="F715">
        <v>2017</v>
      </c>
      <c r="G715" t="s">
        <v>2873</v>
      </c>
      <c r="H715" t="s">
        <v>3237</v>
      </c>
      <c r="I715" t="s">
        <v>3238</v>
      </c>
      <c r="J715" t="s">
        <v>24</v>
      </c>
      <c r="K715" t="s">
        <v>25</v>
      </c>
      <c r="L715" t="b">
        <v>1</v>
      </c>
      <c r="M715" t="s">
        <v>3239</v>
      </c>
      <c r="N715" t="str">
        <f>"577.34"</f>
        <v>577.34</v>
      </c>
      <c r="O715" t="s">
        <v>3240</v>
      </c>
      <c r="P715" t="b">
        <v>0</v>
      </c>
      <c r="Q715" t="b">
        <v>0</v>
      </c>
      <c r="R715" t="str">
        <f>"9781634852777"</f>
        <v>9781634852777</v>
      </c>
      <c r="S715" t="str">
        <f>"9781536110135"</f>
        <v>9781536110135</v>
      </c>
      <c r="T715">
        <v>989121188</v>
      </c>
    </row>
    <row r="716" spans="1:20" x14ac:dyDescent="0.3">
      <c r="A716">
        <v>1530441</v>
      </c>
      <c r="B716" t="s">
        <v>3241</v>
      </c>
      <c r="D716" t="s">
        <v>2860</v>
      </c>
      <c r="E716" t="s">
        <v>2860</v>
      </c>
      <c r="F716">
        <v>2017</v>
      </c>
      <c r="G716" t="s">
        <v>3242</v>
      </c>
      <c r="H716" t="s">
        <v>3243</v>
      </c>
      <c r="I716" t="s">
        <v>3244</v>
      </c>
      <c r="J716" t="s">
        <v>24</v>
      </c>
      <c r="K716" t="s">
        <v>25</v>
      </c>
      <c r="L716" t="b">
        <v>1</v>
      </c>
      <c r="M716" t="s">
        <v>3245</v>
      </c>
      <c r="N716" t="str">
        <f>"363.70072/7"</f>
        <v>363.70072/7</v>
      </c>
      <c r="O716" t="s">
        <v>3246</v>
      </c>
      <c r="P716" t="b">
        <v>0</v>
      </c>
      <c r="Q716" t="b">
        <v>0</v>
      </c>
      <c r="R716" t="str">
        <f>"9781536109153"</f>
        <v>9781536109153</v>
      </c>
      <c r="S716" t="str">
        <f>"9781536109245"</f>
        <v>9781536109245</v>
      </c>
      <c r="T716">
        <v>987909816</v>
      </c>
    </row>
    <row r="717" spans="1:20" x14ac:dyDescent="0.3">
      <c r="A717">
        <v>1529600</v>
      </c>
      <c r="B717" t="s">
        <v>3247</v>
      </c>
      <c r="D717" t="s">
        <v>3248</v>
      </c>
      <c r="E717" t="s">
        <v>3248</v>
      </c>
      <c r="F717">
        <v>2017</v>
      </c>
      <c r="G717" t="s">
        <v>3249</v>
      </c>
      <c r="H717" t="s">
        <v>3250</v>
      </c>
      <c r="J717" t="s">
        <v>24</v>
      </c>
      <c r="K717" t="s">
        <v>25</v>
      </c>
      <c r="L717" t="b">
        <v>1</v>
      </c>
      <c r="M717" t="s">
        <v>3251</v>
      </c>
      <c r="N717" t="str">
        <f>"228/.07"</f>
        <v>228/.07</v>
      </c>
      <c r="O717" t="s">
        <v>3252</v>
      </c>
      <c r="P717" t="b">
        <v>0</v>
      </c>
      <c r="Q717" t="b">
        <v>0</v>
      </c>
      <c r="R717" t="str">
        <f>"9780813229560"</f>
        <v>9780813229560</v>
      </c>
      <c r="S717" t="str">
        <f>"9780813229577"</f>
        <v>9780813229577</v>
      </c>
      <c r="T717">
        <v>988941597</v>
      </c>
    </row>
    <row r="718" spans="1:20" x14ac:dyDescent="0.3">
      <c r="A718">
        <v>1529358</v>
      </c>
      <c r="B718" t="s">
        <v>3253</v>
      </c>
      <c r="D718" t="s">
        <v>3029</v>
      </c>
      <c r="E718" t="s">
        <v>3030</v>
      </c>
      <c r="F718">
        <v>2017</v>
      </c>
      <c r="G718" t="s">
        <v>3044</v>
      </c>
      <c r="H718" t="s">
        <v>3254</v>
      </c>
      <c r="I718" t="s">
        <v>3255</v>
      </c>
      <c r="J718" t="s">
        <v>24</v>
      </c>
      <c r="K718" t="s">
        <v>25</v>
      </c>
      <c r="L718" t="b">
        <v>1</v>
      </c>
      <c r="M718" t="s">
        <v>3256</v>
      </c>
      <c r="N718" t="str">
        <f>"401/.45"</f>
        <v>401/.45</v>
      </c>
      <c r="O718" t="s">
        <v>3257</v>
      </c>
      <c r="P718" t="b">
        <v>0</v>
      </c>
      <c r="R718" t="str">
        <f>"9789027256799"</f>
        <v>9789027256799</v>
      </c>
      <c r="S718" t="str">
        <f>"9789027265708"</f>
        <v>9789027265708</v>
      </c>
      <c r="T718">
        <v>988028056</v>
      </c>
    </row>
    <row r="719" spans="1:20" x14ac:dyDescent="0.3">
      <c r="A719">
        <v>1529357</v>
      </c>
      <c r="B719" t="s">
        <v>3258</v>
      </c>
      <c r="C719" t="s">
        <v>3259</v>
      </c>
      <c r="D719" t="s">
        <v>3029</v>
      </c>
      <c r="E719" t="s">
        <v>3030</v>
      </c>
      <c r="F719">
        <v>2017</v>
      </c>
      <c r="G719" t="s">
        <v>3044</v>
      </c>
      <c r="H719" t="s">
        <v>3260</v>
      </c>
      <c r="I719" t="s">
        <v>3261</v>
      </c>
      <c r="J719" t="s">
        <v>24</v>
      </c>
      <c r="K719" t="s">
        <v>25</v>
      </c>
      <c r="L719" t="b">
        <v>1</v>
      </c>
      <c r="M719" t="s">
        <v>3262</v>
      </c>
      <c r="N719" t="str">
        <f>"929.9/7"</f>
        <v>929.9/7</v>
      </c>
      <c r="O719" t="s">
        <v>3257</v>
      </c>
      <c r="P719" t="b">
        <v>0</v>
      </c>
      <c r="R719" t="str">
        <f>"9789027256805"</f>
        <v>9789027256805</v>
      </c>
      <c r="S719" t="str">
        <f>"9789027265692"</f>
        <v>9789027265692</v>
      </c>
      <c r="T719">
        <v>987437578</v>
      </c>
    </row>
    <row r="720" spans="1:20" x14ac:dyDescent="0.3">
      <c r="A720">
        <v>1529356</v>
      </c>
      <c r="B720" t="s">
        <v>3263</v>
      </c>
      <c r="D720" t="s">
        <v>3029</v>
      </c>
      <c r="E720" t="s">
        <v>3030</v>
      </c>
      <c r="F720">
        <v>2017</v>
      </c>
      <c r="G720" t="s">
        <v>314</v>
      </c>
      <c r="H720" t="s">
        <v>3031</v>
      </c>
      <c r="I720" t="s">
        <v>3264</v>
      </c>
      <c r="J720" t="s">
        <v>24</v>
      </c>
      <c r="K720" t="s">
        <v>25</v>
      </c>
      <c r="L720" t="b">
        <v>1</v>
      </c>
      <c r="M720" t="s">
        <v>3265</v>
      </c>
      <c r="N720" t="str">
        <f>"306.44/60946"</f>
        <v>306.44/60946</v>
      </c>
      <c r="O720" t="s">
        <v>3266</v>
      </c>
      <c r="P720" t="b">
        <v>0</v>
      </c>
      <c r="R720" t="str">
        <f>"9789027258120"</f>
        <v>9789027258120</v>
      </c>
      <c r="S720" t="str">
        <f>"9789027265623"</f>
        <v>9789027265623</v>
      </c>
      <c r="T720">
        <v>987437579</v>
      </c>
    </row>
    <row r="721" spans="1:20" x14ac:dyDescent="0.3">
      <c r="A721">
        <v>1529354</v>
      </c>
      <c r="B721" t="s">
        <v>3267</v>
      </c>
      <c r="C721" t="s">
        <v>3268</v>
      </c>
      <c r="D721" t="s">
        <v>3080</v>
      </c>
      <c r="E721" t="s">
        <v>3269</v>
      </c>
      <c r="F721">
        <v>2017</v>
      </c>
      <c r="G721" t="s">
        <v>889</v>
      </c>
      <c r="H721" t="s">
        <v>3270</v>
      </c>
      <c r="I721" t="s">
        <v>3271</v>
      </c>
      <c r="J721" t="s">
        <v>24</v>
      </c>
      <c r="K721" t="s">
        <v>269</v>
      </c>
      <c r="L721" t="b">
        <v>1</v>
      </c>
      <c r="M721" t="s">
        <v>3272</v>
      </c>
      <c r="N721" t="str">
        <f>"362.1981780092"</f>
        <v>362.1981780092</v>
      </c>
      <c r="P721" t="b">
        <v>0</v>
      </c>
      <c r="Q721" t="b">
        <v>0</v>
      </c>
      <c r="R721" t="str">
        <f>"9781785371189"</f>
        <v>9781785371189</v>
      </c>
      <c r="S721" t="str">
        <f>"9781785371219"</f>
        <v>9781785371219</v>
      </c>
      <c r="T721">
        <v>1000597400</v>
      </c>
    </row>
    <row r="722" spans="1:20" x14ac:dyDescent="0.3">
      <c r="A722">
        <v>1529349</v>
      </c>
      <c r="B722" t="s">
        <v>3273</v>
      </c>
      <c r="D722" t="s">
        <v>2597</v>
      </c>
      <c r="E722" t="s">
        <v>2598</v>
      </c>
      <c r="F722">
        <v>2017</v>
      </c>
      <c r="J722" t="s">
        <v>24</v>
      </c>
      <c r="K722" t="s">
        <v>25</v>
      </c>
      <c r="L722" t="b">
        <v>1</v>
      </c>
      <c r="M722" t="s">
        <v>3274</v>
      </c>
      <c r="P722" t="b">
        <v>0</v>
      </c>
      <c r="R722" t="str">
        <f>"9781484300336"</f>
        <v>9781484300336</v>
      </c>
      <c r="S722" t="str">
        <f>"9781484300381"</f>
        <v>9781484300381</v>
      </c>
    </row>
    <row r="723" spans="1:20" x14ac:dyDescent="0.3">
      <c r="A723">
        <v>1529346</v>
      </c>
      <c r="B723" t="s">
        <v>3275</v>
      </c>
      <c r="D723" t="s">
        <v>2597</v>
      </c>
      <c r="E723" t="s">
        <v>2598</v>
      </c>
      <c r="F723">
        <v>2017</v>
      </c>
      <c r="J723" t="s">
        <v>24</v>
      </c>
      <c r="K723" t="s">
        <v>25</v>
      </c>
      <c r="L723" t="b">
        <v>1</v>
      </c>
      <c r="M723" t="s">
        <v>3276</v>
      </c>
      <c r="P723" t="b">
        <v>0</v>
      </c>
      <c r="R723" t="str">
        <f>"9781475599930"</f>
        <v>9781475599930</v>
      </c>
      <c r="S723" t="str">
        <f>"9781484300039"</f>
        <v>9781484300039</v>
      </c>
    </row>
    <row r="724" spans="1:20" x14ac:dyDescent="0.3">
      <c r="A724">
        <v>1529342</v>
      </c>
      <c r="B724" t="s">
        <v>3277</v>
      </c>
      <c r="D724" t="s">
        <v>2597</v>
      </c>
      <c r="E724" t="s">
        <v>2598</v>
      </c>
      <c r="F724">
        <v>2017</v>
      </c>
      <c r="J724" t="s">
        <v>24</v>
      </c>
      <c r="K724" t="s">
        <v>25</v>
      </c>
      <c r="L724" t="b">
        <v>1</v>
      </c>
      <c r="M724" t="s">
        <v>3278</v>
      </c>
      <c r="P724" t="b">
        <v>0</v>
      </c>
      <c r="R724" t="str">
        <f>"9781484300664"</f>
        <v>9781484300664</v>
      </c>
      <c r="S724" t="str">
        <f>"9781484300909"</f>
        <v>9781484300909</v>
      </c>
    </row>
    <row r="725" spans="1:20" x14ac:dyDescent="0.3">
      <c r="A725">
        <v>1529337</v>
      </c>
      <c r="B725" t="s">
        <v>3279</v>
      </c>
      <c r="D725" t="s">
        <v>2597</v>
      </c>
      <c r="E725" t="s">
        <v>2598</v>
      </c>
      <c r="F725">
        <v>2017</v>
      </c>
      <c r="J725" t="s">
        <v>24</v>
      </c>
      <c r="K725" t="s">
        <v>25</v>
      </c>
      <c r="L725" t="b">
        <v>1</v>
      </c>
      <c r="M725" t="s">
        <v>3280</v>
      </c>
      <c r="P725" t="b">
        <v>0</v>
      </c>
      <c r="R725" t="str">
        <f>"9781475599732"</f>
        <v>9781475599732</v>
      </c>
      <c r="S725" t="str">
        <f>"9781475599817"</f>
        <v>9781475599817</v>
      </c>
    </row>
    <row r="726" spans="1:20" x14ac:dyDescent="0.3">
      <c r="A726">
        <v>1529336</v>
      </c>
      <c r="B726" t="s">
        <v>3275</v>
      </c>
      <c r="D726" t="s">
        <v>2597</v>
      </c>
      <c r="E726" t="s">
        <v>2598</v>
      </c>
      <c r="F726">
        <v>2017</v>
      </c>
      <c r="J726" t="s">
        <v>24</v>
      </c>
      <c r="K726" t="s">
        <v>25</v>
      </c>
      <c r="L726" t="b">
        <v>1</v>
      </c>
      <c r="M726" t="s">
        <v>3276</v>
      </c>
      <c r="P726" t="b">
        <v>0</v>
      </c>
      <c r="R726" t="str">
        <f>"9781475599923"</f>
        <v>9781475599923</v>
      </c>
      <c r="S726" t="str">
        <f>"9781484300084"</f>
        <v>9781484300084</v>
      </c>
    </row>
    <row r="727" spans="1:20" x14ac:dyDescent="0.3">
      <c r="A727">
        <v>1529331</v>
      </c>
      <c r="B727" t="s">
        <v>3275</v>
      </c>
      <c r="D727" t="s">
        <v>2597</v>
      </c>
      <c r="E727" t="s">
        <v>2598</v>
      </c>
      <c r="F727">
        <v>2017</v>
      </c>
      <c r="J727" t="s">
        <v>24</v>
      </c>
      <c r="K727" t="s">
        <v>25</v>
      </c>
      <c r="L727" t="b">
        <v>1</v>
      </c>
      <c r="M727" t="s">
        <v>3276</v>
      </c>
      <c r="P727" t="b">
        <v>0</v>
      </c>
      <c r="R727" t="str">
        <f>"9781475599954"</f>
        <v>9781475599954</v>
      </c>
      <c r="S727" t="str">
        <f>"9781475599985"</f>
        <v>9781475599985</v>
      </c>
    </row>
    <row r="728" spans="1:20" x14ac:dyDescent="0.3">
      <c r="A728">
        <v>1529329</v>
      </c>
      <c r="B728" t="s">
        <v>3281</v>
      </c>
      <c r="D728" t="s">
        <v>2597</v>
      </c>
      <c r="E728" t="s">
        <v>2598</v>
      </c>
      <c r="F728">
        <v>2017</v>
      </c>
      <c r="J728" t="s">
        <v>24</v>
      </c>
      <c r="K728" t="s">
        <v>25</v>
      </c>
      <c r="L728" t="b">
        <v>1</v>
      </c>
      <c r="M728" t="s">
        <v>3282</v>
      </c>
      <c r="P728" t="b">
        <v>0</v>
      </c>
      <c r="R728" t="str">
        <f>"9781475590616"</f>
        <v>9781475590616</v>
      </c>
      <c r="S728" t="str">
        <f>"9781475590654"</f>
        <v>9781475590654</v>
      </c>
    </row>
    <row r="729" spans="1:20" x14ac:dyDescent="0.3">
      <c r="A729">
        <v>1529327</v>
      </c>
      <c r="B729" t="s">
        <v>3283</v>
      </c>
      <c r="D729" t="s">
        <v>2597</v>
      </c>
      <c r="E729" t="s">
        <v>2598</v>
      </c>
      <c r="F729">
        <v>2017</v>
      </c>
      <c r="J729" t="s">
        <v>24</v>
      </c>
      <c r="K729" t="s">
        <v>25</v>
      </c>
      <c r="L729" t="b">
        <v>1</v>
      </c>
      <c r="M729" t="s">
        <v>3284</v>
      </c>
      <c r="P729" t="b">
        <v>0</v>
      </c>
      <c r="R729" t="str">
        <f>"9781475560312"</f>
        <v>9781475560312</v>
      </c>
      <c r="S729" t="str">
        <f>"9781475569261"</f>
        <v>9781475569261</v>
      </c>
    </row>
    <row r="730" spans="1:20" x14ac:dyDescent="0.3">
      <c r="A730">
        <v>1529326</v>
      </c>
      <c r="B730" t="s">
        <v>3285</v>
      </c>
      <c r="D730" t="s">
        <v>2597</v>
      </c>
      <c r="E730" t="s">
        <v>2598</v>
      </c>
      <c r="F730">
        <v>2017</v>
      </c>
      <c r="J730" t="s">
        <v>24</v>
      </c>
      <c r="K730" t="s">
        <v>25</v>
      </c>
      <c r="L730" t="b">
        <v>1</v>
      </c>
      <c r="M730" t="s">
        <v>3286</v>
      </c>
      <c r="P730" t="b">
        <v>0</v>
      </c>
      <c r="R730" t="str">
        <f>"9781484301135"</f>
        <v>9781484301135</v>
      </c>
      <c r="S730" t="str">
        <f>"9781484301340"</f>
        <v>9781484301340</v>
      </c>
    </row>
    <row r="731" spans="1:20" x14ac:dyDescent="0.3">
      <c r="A731">
        <v>1529324</v>
      </c>
      <c r="B731" t="s">
        <v>3287</v>
      </c>
      <c r="D731" t="s">
        <v>2597</v>
      </c>
      <c r="E731" t="s">
        <v>2598</v>
      </c>
      <c r="F731">
        <v>2017</v>
      </c>
      <c r="J731" t="s">
        <v>24</v>
      </c>
      <c r="K731" t="s">
        <v>25</v>
      </c>
      <c r="L731" t="b">
        <v>1</v>
      </c>
      <c r="M731" t="s">
        <v>3288</v>
      </c>
      <c r="P731" t="b">
        <v>0</v>
      </c>
      <c r="R731" t="str">
        <f>"9781484301098"</f>
        <v>9781484301098</v>
      </c>
      <c r="S731" t="str">
        <f>"9781484301227"</f>
        <v>9781484301227</v>
      </c>
    </row>
    <row r="732" spans="1:20" x14ac:dyDescent="0.3">
      <c r="A732">
        <v>1529323</v>
      </c>
      <c r="B732" t="s">
        <v>3289</v>
      </c>
      <c r="D732" t="s">
        <v>2597</v>
      </c>
      <c r="E732" t="s">
        <v>2598</v>
      </c>
      <c r="F732">
        <v>2017</v>
      </c>
      <c r="J732" t="s">
        <v>24</v>
      </c>
      <c r="K732" t="s">
        <v>25</v>
      </c>
      <c r="L732" t="b">
        <v>1</v>
      </c>
      <c r="M732" t="s">
        <v>3290</v>
      </c>
      <c r="P732" t="b">
        <v>0</v>
      </c>
      <c r="R732" t="str">
        <f>"9781475595833"</f>
        <v>9781475595833</v>
      </c>
      <c r="S732" t="str">
        <f>"9781484302019"</f>
        <v>9781484302019</v>
      </c>
    </row>
    <row r="733" spans="1:20" x14ac:dyDescent="0.3">
      <c r="A733">
        <v>1529322</v>
      </c>
      <c r="B733" t="s">
        <v>3291</v>
      </c>
      <c r="D733" t="s">
        <v>2597</v>
      </c>
      <c r="E733" t="s">
        <v>2598</v>
      </c>
      <c r="F733">
        <v>2017</v>
      </c>
      <c r="J733" t="s">
        <v>24</v>
      </c>
      <c r="K733" t="s">
        <v>25</v>
      </c>
      <c r="L733" t="b">
        <v>1</v>
      </c>
      <c r="M733" t="s">
        <v>3292</v>
      </c>
      <c r="P733" t="b">
        <v>0</v>
      </c>
      <c r="R733" t="str">
        <f>"9781484301128"</f>
        <v>9781484301128</v>
      </c>
      <c r="S733" t="str">
        <f>"9781484301319"</f>
        <v>9781484301319</v>
      </c>
    </row>
    <row r="734" spans="1:20" x14ac:dyDescent="0.3">
      <c r="A734">
        <v>1529319</v>
      </c>
      <c r="B734" t="s">
        <v>3293</v>
      </c>
      <c r="D734" t="s">
        <v>2597</v>
      </c>
      <c r="E734" t="s">
        <v>2598</v>
      </c>
      <c r="F734">
        <v>2017</v>
      </c>
      <c r="J734" t="s">
        <v>24</v>
      </c>
      <c r="K734" t="s">
        <v>25</v>
      </c>
      <c r="L734" t="b">
        <v>1</v>
      </c>
      <c r="M734" t="s">
        <v>3294</v>
      </c>
      <c r="P734" t="b">
        <v>0</v>
      </c>
      <c r="R734" t="str">
        <f>"9781484300657"</f>
        <v>9781484300657</v>
      </c>
      <c r="S734" t="str">
        <f>"9781484301081"</f>
        <v>9781484301081</v>
      </c>
    </row>
    <row r="735" spans="1:20" x14ac:dyDescent="0.3">
      <c r="A735">
        <v>1529315</v>
      </c>
      <c r="B735" t="s">
        <v>3295</v>
      </c>
      <c r="D735" t="s">
        <v>2597</v>
      </c>
      <c r="E735" t="s">
        <v>2598</v>
      </c>
      <c r="F735">
        <v>2017</v>
      </c>
      <c r="J735" t="s">
        <v>24</v>
      </c>
      <c r="K735" t="s">
        <v>25</v>
      </c>
      <c r="L735" t="b">
        <v>1</v>
      </c>
      <c r="M735" t="s">
        <v>3296</v>
      </c>
      <c r="P735" t="b">
        <v>0</v>
      </c>
      <c r="R735" t="str">
        <f>"9781484300619"</f>
        <v>9781484300619</v>
      </c>
      <c r="S735" t="str">
        <f>"9781484302026"</f>
        <v>9781484302026</v>
      </c>
    </row>
    <row r="736" spans="1:20" x14ac:dyDescent="0.3">
      <c r="A736">
        <v>1529313</v>
      </c>
      <c r="B736" t="s">
        <v>3297</v>
      </c>
      <c r="D736" t="s">
        <v>2597</v>
      </c>
      <c r="E736" t="s">
        <v>2598</v>
      </c>
      <c r="F736">
        <v>2017</v>
      </c>
      <c r="J736" t="s">
        <v>24</v>
      </c>
      <c r="K736" t="s">
        <v>25</v>
      </c>
      <c r="L736" t="b">
        <v>1</v>
      </c>
      <c r="M736" t="s">
        <v>3296</v>
      </c>
      <c r="P736" t="b">
        <v>0</v>
      </c>
      <c r="R736" t="str">
        <f>"9781484300640"</f>
        <v>9781484300640</v>
      </c>
      <c r="S736" t="str">
        <f>"9781484301203"</f>
        <v>9781484301203</v>
      </c>
    </row>
    <row r="737" spans="1:20" x14ac:dyDescent="0.3">
      <c r="A737">
        <v>1529312</v>
      </c>
      <c r="B737" t="s">
        <v>3298</v>
      </c>
      <c r="D737" t="s">
        <v>2597</v>
      </c>
      <c r="E737" t="s">
        <v>2598</v>
      </c>
      <c r="F737">
        <v>2017</v>
      </c>
      <c r="J737" t="s">
        <v>24</v>
      </c>
      <c r="K737" t="s">
        <v>25</v>
      </c>
      <c r="L737" t="b">
        <v>1</v>
      </c>
      <c r="M737" t="s">
        <v>3299</v>
      </c>
      <c r="P737" t="b">
        <v>0</v>
      </c>
      <c r="R737" t="str">
        <f>"9781475577556"</f>
        <v>9781475577556</v>
      </c>
      <c r="S737" t="str">
        <f>"9781475579703"</f>
        <v>9781475579703</v>
      </c>
    </row>
    <row r="738" spans="1:20" x14ac:dyDescent="0.3">
      <c r="A738">
        <v>1529311</v>
      </c>
      <c r="B738" t="s">
        <v>3300</v>
      </c>
      <c r="D738" t="s">
        <v>2597</v>
      </c>
      <c r="E738" t="s">
        <v>2598</v>
      </c>
      <c r="F738">
        <v>2017</v>
      </c>
      <c r="J738" t="s">
        <v>24</v>
      </c>
      <c r="K738" t="s">
        <v>25</v>
      </c>
      <c r="L738" t="b">
        <v>1</v>
      </c>
      <c r="M738" t="s">
        <v>3301</v>
      </c>
      <c r="P738" t="b">
        <v>0</v>
      </c>
      <c r="R738" t="str">
        <f>"9781484301760"</f>
        <v>9781484301760</v>
      </c>
      <c r="S738" t="str">
        <f>"9781484302095"</f>
        <v>9781484302095</v>
      </c>
    </row>
    <row r="739" spans="1:20" x14ac:dyDescent="0.3">
      <c r="A739">
        <v>1529256</v>
      </c>
      <c r="B739" t="s">
        <v>3302</v>
      </c>
      <c r="C739" t="s">
        <v>3303</v>
      </c>
      <c r="D739" t="s">
        <v>3304</v>
      </c>
      <c r="E739" t="s">
        <v>3305</v>
      </c>
      <c r="F739">
        <v>2017</v>
      </c>
      <c r="G739" t="s">
        <v>1745</v>
      </c>
      <c r="H739" t="s">
        <v>3306</v>
      </c>
      <c r="I739" t="s">
        <v>3307</v>
      </c>
      <c r="J739" t="s">
        <v>24</v>
      </c>
      <c r="K739" t="s">
        <v>55</v>
      </c>
      <c r="L739" t="b">
        <v>1</v>
      </c>
      <c r="M739" t="s">
        <v>3308</v>
      </c>
      <c r="N739" t="str">
        <f>"331.409711/1"</f>
        <v>331.409711/1</v>
      </c>
      <c r="P739" t="b">
        <v>0</v>
      </c>
      <c r="R739" t="str">
        <f>"9781772031799"</f>
        <v>9781772031799</v>
      </c>
      <c r="S739" t="str">
        <f>"9781772031805"</f>
        <v>9781772031805</v>
      </c>
      <c r="T739">
        <v>987578714</v>
      </c>
    </row>
    <row r="740" spans="1:20" x14ac:dyDescent="0.3">
      <c r="A740">
        <v>1528199</v>
      </c>
      <c r="B740" t="s">
        <v>3309</v>
      </c>
      <c r="D740" t="s">
        <v>3310</v>
      </c>
      <c r="E740" t="s">
        <v>3311</v>
      </c>
      <c r="F740">
        <v>2017</v>
      </c>
      <c r="G740" t="s">
        <v>3312</v>
      </c>
      <c r="H740" t="s">
        <v>3313</v>
      </c>
      <c r="I740" t="s">
        <v>3314</v>
      </c>
      <c r="J740" t="s">
        <v>543</v>
      </c>
      <c r="K740" t="s">
        <v>25</v>
      </c>
      <c r="L740" t="b">
        <v>1</v>
      </c>
      <c r="M740" t="s">
        <v>3315</v>
      </c>
      <c r="N740" t="str">
        <f>"615.103"</f>
        <v>615.103</v>
      </c>
      <c r="P740" t="b">
        <v>0</v>
      </c>
      <c r="Q740" t="b">
        <v>0</v>
      </c>
      <c r="S740" t="str">
        <f>"9782850913679"</f>
        <v>9782850913679</v>
      </c>
      <c r="T740">
        <v>988600628</v>
      </c>
    </row>
    <row r="741" spans="1:20" x14ac:dyDescent="0.3">
      <c r="A741">
        <v>1528160</v>
      </c>
      <c r="B741" t="s">
        <v>3316</v>
      </c>
      <c r="C741" t="s">
        <v>3317</v>
      </c>
      <c r="D741" t="s">
        <v>3318</v>
      </c>
      <c r="E741" t="s">
        <v>3318</v>
      </c>
      <c r="F741">
        <v>2017</v>
      </c>
      <c r="G741" t="s">
        <v>2928</v>
      </c>
      <c r="H741" t="s">
        <v>3319</v>
      </c>
      <c r="I741" t="s">
        <v>3320</v>
      </c>
      <c r="J741" t="s">
        <v>24</v>
      </c>
      <c r="K741" t="s">
        <v>269</v>
      </c>
      <c r="L741" t="b">
        <v>1</v>
      </c>
      <c r="M741" t="s">
        <v>3321</v>
      </c>
      <c r="N741" t="str">
        <f>"909/.097492708312"</f>
        <v>909/.097492708312</v>
      </c>
      <c r="O741" t="s">
        <v>3322</v>
      </c>
      <c r="P741" t="b">
        <v>0</v>
      </c>
      <c r="R741" t="str">
        <f>"9780804799027"</f>
        <v>9780804799027</v>
      </c>
      <c r="S741" t="str">
        <f>"9781503603073"</f>
        <v>9781503603073</v>
      </c>
      <c r="T741">
        <v>974796477</v>
      </c>
    </row>
    <row r="742" spans="1:20" x14ac:dyDescent="0.3">
      <c r="A742">
        <v>1527443</v>
      </c>
      <c r="B742" t="s">
        <v>3323</v>
      </c>
      <c r="C742" t="s">
        <v>3324</v>
      </c>
      <c r="D742" t="s">
        <v>45</v>
      </c>
      <c r="E742" t="s">
        <v>45</v>
      </c>
      <c r="F742">
        <v>2017</v>
      </c>
      <c r="G742" t="s">
        <v>3325</v>
      </c>
      <c r="J742" t="s">
        <v>24</v>
      </c>
      <c r="K742" t="s">
        <v>269</v>
      </c>
      <c r="L742" t="b">
        <v>1</v>
      </c>
      <c r="M742" t="s">
        <v>3326</v>
      </c>
      <c r="O742" t="s">
        <v>2932</v>
      </c>
      <c r="P742" t="b">
        <v>0</v>
      </c>
      <c r="R742" t="str">
        <f>"9781501513855"</f>
        <v>9781501513855</v>
      </c>
      <c r="S742" t="str">
        <f>"9781501504969"</f>
        <v>9781501504969</v>
      </c>
    </row>
    <row r="743" spans="1:20" x14ac:dyDescent="0.3">
      <c r="A743">
        <v>1527422</v>
      </c>
      <c r="B743" t="s">
        <v>3327</v>
      </c>
      <c r="C743" t="s">
        <v>3328</v>
      </c>
      <c r="D743" t="s">
        <v>1011</v>
      </c>
      <c r="E743" t="s">
        <v>3329</v>
      </c>
      <c r="F743">
        <v>2017</v>
      </c>
      <c r="G743" t="s">
        <v>3330</v>
      </c>
      <c r="H743" t="s">
        <v>3331</v>
      </c>
      <c r="I743" t="s">
        <v>3332</v>
      </c>
      <c r="J743" t="s">
        <v>24</v>
      </c>
      <c r="K743" t="s">
        <v>25</v>
      </c>
      <c r="L743" t="b">
        <v>1</v>
      </c>
      <c r="M743" t="s">
        <v>3333</v>
      </c>
      <c r="N743" t="str">
        <f>"362.1086/970973"</f>
        <v>362.1086/970973</v>
      </c>
      <c r="P743" t="b">
        <v>0</v>
      </c>
      <c r="R743" t="str">
        <f>"9781501714559"</f>
        <v>9781501714559</v>
      </c>
      <c r="S743" t="str">
        <f>"9781501714573"</f>
        <v>9781501714573</v>
      </c>
      <c r="T743">
        <v>974035783</v>
      </c>
    </row>
    <row r="744" spans="1:20" x14ac:dyDescent="0.3">
      <c r="A744">
        <v>1527342</v>
      </c>
      <c r="B744" t="s">
        <v>3334</v>
      </c>
      <c r="C744" t="s">
        <v>3335</v>
      </c>
      <c r="D744" t="s">
        <v>2450</v>
      </c>
      <c r="E744" t="s">
        <v>2451</v>
      </c>
      <c r="F744">
        <v>2017</v>
      </c>
      <c r="G744" t="s">
        <v>287</v>
      </c>
      <c r="H744" t="s">
        <v>3336</v>
      </c>
      <c r="I744" t="s">
        <v>3337</v>
      </c>
      <c r="J744" t="s">
        <v>24</v>
      </c>
      <c r="K744" t="s">
        <v>25</v>
      </c>
      <c r="L744" t="b">
        <v>1</v>
      </c>
      <c r="M744" t="s">
        <v>3338</v>
      </c>
      <c r="N744" t="str">
        <f>"100"</f>
        <v>100</v>
      </c>
      <c r="O744" t="s">
        <v>3339</v>
      </c>
      <c r="P744" t="b">
        <v>0</v>
      </c>
      <c r="R744" t="str">
        <f>"9783959480079"</f>
        <v>9783959480079</v>
      </c>
      <c r="S744" t="str">
        <f>"9783959488143"</f>
        <v>9783959488143</v>
      </c>
      <c r="T744">
        <v>988600513</v>
      </c>
    </row>
    <row r="745" spans="1:20" x14ac:dyDescent="0.3">
      <c r="A745">
        <v>1527341</v>
      </c>
      <c r="B745" t="s">
        <v>3340</v>
      </c>
      <c r="C745" t="s">
        <v>3341</v>
      </c>
      <c r="D745" t="s">
        <v>2450</v>
      </c>
      <c r="E745" t="s">
        <v>2451</v>
      </c>
      <c r="F745">
        <v>2017</v>
      </c>
      <c r="G745" t="s">
        <v>3342</v>
      </c>
      <c r="H745" t="s">
        <v>3343</v>
      </c>
      <c r="I745" t="s">
        <v>2924</v>
      </c>
      <c r="J745" t="s">
        <v>2437</v>
      </c>
      <c r="K745" t="s">
        <v>25</v>
      </c>
      <c r="L745" t="b">
        <v>1</v>
      </c>
      <c r="M745" t="s">
        <v>3344</v>
      </c>
      <c r="N745" t="str">
        <f>"782.421680268"</f>
        <v>782.421680268</v>
      </c>
      <c r="P745" t="b">
        <v>0</v>
      </c>
      <c r="R745" t="str">
        <f>"9783959482462"</f>
        <v>9783959482462</v>
      </c>
      <c r="S745" t="str">
        <f>"9783959488167"</f>
        <v>9783959488167</v>
      </c>
      <c r="T745">
        <v>988766398</v>
      </c>
    </row>
    <row r="746" spans="1:20" x14ac:dyDescent="0.3">
      <c r="A746">
        <v>1527339</v>
      </c>
      <c r="B746" t="s">
        <v>3345</v>
      </c>
      <c r="C746" t="s">
        <v>3346</v>
      </c>
      <c r="D746" t="s">
        <v>2450</v>
      </c>
      <c r="E746" t="s">
        <v>2451</v>
      </c>
      <c r="F746">
        <v>2017</v>
      </c>
      <c r="G746" t="s">
        <v>287</v>
      </c>
      <c r="H746" t="s">
        <v>3347</v>
      </c>
      <c r="I746" t="s">
        <v>3348</v>
      </c>
      <c r="J746" t="s">
        <v>2437</v>
      </c>
      <c r="K746" t="s">
        <v>25</v>
      </c>
      <c r="L746" t="b">
        <v>1</v>
      </c>
      <c r="M746" t="s">
        <v>3349</v>
      </c>
      <c r="N746" t="str">
        <f>"830.8"</f>
        <v>830.8</v>
      </c>
      <c r="O746" t="s">
        <v>3350</v>
      </c>
      <c r="P746" t="b">
        <v>0</v>
      </c>
      <c r="R746" t="str">
        <f>"9783959482509"</f>
        <v>9783959482509</v>
      </c>
      <c r="S746" t="str">
        <f>"9783959488181"</f>
        <v>9783959488181</v>
      </c>
      <c r="T746">
        <v>988600511</v>
      </c>
    </row>
    <row r="747" spans="1:20" x14ac:dyDescent="0.3">
      <c r="A747">
        <v>1527338</v>
      </c>
      <c r="B747" t="s">
        <v>3351</v>
      </c>
      <c r="C747" t="s">
        <v>3352</v>
      </c>
      <c r="D747" t="s">
        <v>2450</v>
      </c>
      <c r="E747" t="s">
        <v>2451</v>
      </c>
      <c r="F747">
        <v>2017</v>
      </c>
      <c r="G747" t="s">
        <v>256</v>
      </c>
      <c r="H747" t="s">
        <v>3347</v>
      </c>
      <c r="J747" t="s">
        <v>24</v>
      </c>
      <c r="K747" t="s">
        <v>25</v>
      </c>
      <c r="L747" t="b">
        <v>1</v>
      </c>
      <c r="M747" t="s">
        <v>3353</v>
      </c>
      <c r="N747" t="str">
        <f>"830.8"</f>
        <v>830.8</v>
      </c>
      <c r="P747" t="b">
        <v>0</v>
      </c>
      <c r="R747" t="str">
        <f>"9783959482561"</f>
        <v>9783959482561</v>
      </c>
      <c r="S747" t="str">
        <f>"9783959488211"</f>
        <v>9783959488211</v>
      </c>
      <c r="T747">
        <v>988600510</v>
      </c>
    </row>
    <row r="748" spans="1:20" x14ac:dyDescent="0.3">
      <c r="A748">
        <v>1527334</v>
      </c>
      <c r="B748" t="s">
        <v>3354</v>
      </c>
      <c r="C748" t="s">
        <v>3355</v>
      </c>
      <c r="D748" t="s">
        <v>2648</v>
      </c>
      <c r="E748" t="s">
        <v>2649</v>
      </c>
      <c r="F748">
        <v>2017</v>
      </c>
      <c r="G748" t="s">
        <v>3356</v>
      </c>
      <c r="H748" t="s">
        <v>3357</v>
      </c>
      <c r="I748" t="s">
        <v>3358</v>
      </c>
      <c r="J748" t="s">
        <v>2437</v>
      </c>
      <c r="K748" t="s">
        <v>25</v>
      </c>
      <c r="L748" t="b">
        <v>1</v>
      </c>
      <c r="M748" t="s">
        <v>3359</v>
      </c>
      <c r="N748" t="str">
        <f>"153.43"</f>
        <v>153.43</v>
      </c>
      <c r="O748" t="s">
        <v>3360</v>
      </c>
      <c r="P748" t="b">
        <v>0</v>
      </c>
      <c r="R748" t="str">
        <f>"9783958454989"</f>
        <v>9783958454989</v>
      </c>
      <c r="S748" t="str">
        <f>"9783958454996"</f>
        <v>9783958454996</v>
      </c>
      <c r="T748">
        <v>988600509</v>
      </c>
    </row>
    <row r="749" spans="1:20" x14ac:dyDescent="0.3">
      <c r="A749">
        <v>1526823</v>
      </c>
      <c r="B749" t="s">
        <v>3361</v>
      </c>
      <c r="C749" t="s">
        <v>3362</v>
      </c>
      <c r="D749" t="s">
        <v>1004</v>
      </c>
      <c r="E749" t="s">
        <v>1004</v>
      </c>
      <c r="F749">
        <v>2016</v>
      </c>
      <c r="G749" t="s">
        <v>3363</v>
      </c>
      <c r="H749" t="s">
        <v>3364</v>
      </c>
      <c r="I749" t="s">
        <v>3365</v>
      </c>
      <c r="J749" t="s">
        <v>854</v>
      </c>
      <c r="K749" t="s">
        <v>25</v>
      </c>
      <c r="L749" t="b">
        <v>1</v>
      </c>
      <c r="M749" t="s">
        <v>3366</v>
      </c>
      <c r="N749" t="str">
        <f>"387.5"</f>
        <v>387.5</v>
      </c>
      <c r="O749" t="s">
        <v>3367</v>
      </c>
      <c r="P749" t="b">
        <v>0</v>
      </c>
      <c r="Q749" t="b">
        <v>0</v>
      </c>
      <c r="R749" t="str">
        <f>"9788024634647"</f>
        <v>9788024634647</v>
      </c>
      <c r="S749" t="str">
        <f>"9788024635019"</f>
        <v>9788024635019</v>
      </c>
      <c r="T749">
        <v>988401110</v>
      </c>
    </row>
    <row r="750" spans="1:20" x14ac:dyDescent="0.3">
      <c r="A750">
        <v>1526821</v>
      </c>
      <c r="B750" t="s">
        <v>3368</v>
      </c>
      <c r="D750" t="s">
        <v>1004</v>
      </c>
      <c r="E750" t="s">
        <v>1004</v>
      </c>
      <c r="F750">
        <v>2017</v>
      </c>
      <c r="G750" t="s">
        <v>3369</v>
      </c>
      <c r="H750" t="s">
        <v>3370</v>
      </c>
      <c r="I750" t="s">
        <v>3371</v>
      </c>
      <c r="J750" t="s">
        <v>854</v>
      </c>
      <c r="K750" t="s">
        <v>25</v>
      </c>
      <c r="L750" t="b">
        <v>1</v>
      </c>
      <c r="M750" t="s">
        <v>3372</v>
      </c>
      <c r="N750" t="str">
        <f>"469/.82"</f>
        <v>469/.82</v>
      </c>
      <c r="P750" t="b">
        <v>0</v>
      </c>
      <c r="Q750" t="b">
        <v>0</v>
      </c>
      <c r="R750" t="str">
        <f>"9788024633633"</f>
        <v>9788024633633</v>
      </c>
      <c r="S750" t="str">
        <f>"9788024633954"</f>
        <v>9788024633954</v>
      </c>
      <c r="T750">
        <v>988396684</v>
      </c>
    </row>
    <row r="751" spans="1:20" x14ac:dyDescent="0.3">
      <c r="A751">
        <v>1526820</v>
      </c>
      <c r="B751" t="s">
        <v>3373</v>
      </c>
      <c r="D751" t="s">
        <v>1004</v>
      </c>
      <c r="E751" t="s">
        <v>1004</v>
      </c>
      <c r="F751">
        <v>2016</v>
      </c>
      <c r="G751" t="s">
        <v>1620</v>
      </c>
      <c r="H751" t="s">
        <v>3374</v>
      </c>
      <c r="I751" t="s">
        <v>3375</v>
      </c>
      <c r="J751" t="s">
        <v>854</v>
      </c>
      <c r="K751" t="s">
        <v>25</v>
      </c>
      <c r="L751" t="b">
        <v>1</v>
      </c>
      <c r="M751" t="s">
        <v>3376</v>
      </c>
      <c r="N751" t="str">
        <f>"345.4371002632"</f>
        <v>345.4371002632</v>
      </c>
      <c r="P751" t="b">
        <v>0</v>
      </c>
      <c r="Q751" t="b">
        <v>0</v>
      </c>
      <c r="R751" t="str">
        <f>"9788024632698"</f>
        <v>9788024632698</v>
      </c>
      <c r="S751" t="str">
        <f>"9788024633022"</f>
        <v>9788024633022</v>
      </c>
      <c r="T751">
        <v>988401473</v>
      </c>
    </row>
    <row r="752" spans="1:20" x14ac:dyDescent="0.3">
      <c r="A752">
        <v>1526819</v>
      </c>
      <c r="B752" t="s">
        <v>3377</v>
      </c>
      <c r="C752" t="s">
        <v>3378</v>
      </c>
      <c r="D752" t="s">
        <v>1004</v>
      </c>
      <c r="E752" t="s">
        <v>1004</v>
      </c>
      <c r="F752">
        <v>2016</v>
      </c>
      <c r="G752" t="s">
        <v>993</v>
      </c>
      <c r="H752" t="s">
        <v>3379</v>
      </c>
      <c r="I752" t="s">
        <v>3380</v>
      </c>
      <c r="J752" t="s">
        <v>854</v>
      </c>
      <c r="K752" t="s">
        <v>25</v>
      </c>
      <c r="L752" t="b">
        <v>1</v>
      </c>
      <c r="M752" t="s">
        <v>3381</v>
      </c>
      <c r="N752" t="str">
        <f>"909.04924"</f>
        <v>909.04924</v>
      </c>
      <c r="P752" t="b">
        <v>0</v>
      </c>
      <c r="Q752" t="b">
        <v>0</v>
      </c>
      <c r="R752" t="str">
        <f>"9788024632711"</f>
        <v>9788024632711</v>
      </c>
      <c r="S752" t="str">
        <f>"9788024632995"</f>
        <v>9788024632995</v>
      </c>
      <c r="T752">
        <v>988401337</v>
      </c>
    </row>
    <row r="753" spans="1:20" x14ac:dyDescent="0.3">
      <c r="A753">
        <v>1526818</v>
      </c>
      <c r="B753" t="s">
        <v>3382</v>
      </c>
      <c r="C753" t="s">
        <v>3383</v>
      </c>
      <c r="D753" t="s">
        <v>1004</v>
      </c>
      <c r="E753" t="s">
        <v>1004</v>
      </c>
      <c r="F753">
        <v>2017</v>
      </c>
      <c r="G753" t="s">
        <v>3384</v>
      </c>
      <c r="H753" t="s">
        <v>3385</v>
      </c>
      <c r="I753" t="s">
        <v>3386</v>
      </c>
      <c r="J753" t="s">
        <v>24</v>
      </c>
      <c r="K753" t="s">
        <v>25</v>
      </c>
      <c r="L753" t="b">
        <v>1</v>
      </c>
      <c r="M753" t="s">
        <v>3387</v>
      </c>
      <c r="N753" t="str">
        <f>"935.501"</f>
        <v>935.501</v>
      </c>
      <c r="P753" t="b">
        <v>0</v>
      </c>
      <c r="Q753" t="b">
        <v>0</v>
      </c>
      <c r="R753" t="str">
        <f>"9788024631301"</f>
        <v>9788024631301</v>
      </c>
      <c r="S753" t="str">
        <f>"9788024631349"</f>
        <v>9788024631349</v>
      </c>
      <c r="T753">
        <v>988867221</v>
      </c>
    </row>
    <row r="754" spans="1:20" x14ac:dyDescent="0.3">
      <c r="A754">
        <v>1526712</v>
      </c>
      <c r="B754" t="s">
        <v>3388</v>
      </c>
      <c r="C754" t="s">
        <v>3389</v>
      </c>
      <c r="D754" t="s">
        <v>3029</v>
      </c>
      <c r="E754" t="s">
        <v>3030</v>
      </c>
      <c r="F754">
        <v>2017</v>
      </c>
      <c r="G754" t="s">
        <v>3044</v>
      </c>
      <c r="H754" t="s">
        <v>3390</v>
      </c>
      <c r="I754" t="s">
        <v>3391</v>
      </c>
      <c r="J754" t="s">
        <v>24</v>
      </c>
      <c r="K754" t="s">
        <v>25</v>
      </c>
      <c r="L754" t="b">
        <v>1</v>
      </c>
      <c r="M754" t="s">
        <v>3392</v>
      </c>
      <c r="N754" t="str">
        <f>"302.34/6"</f>
        <v>302.34/6</v>
      </c>
      <c r="O754" t="s">
        <v>3257</v>
      </c>
      <c r="P754" t="b">
        <v>0</v>
      </c>
      <c r="R754" t="str">
        <f>"9789027256782"</f>
        <v>9789027256782</v>
      </c>
      <c r="S754" t="str">
        <f>"9789027265982"</f>
        <v>9789027265982</v>
      </c>
      <c r="T754">
        <v>978295473</v>
      </c>
    </row>
    <row r="755" spans="1:20" x14ac:dyDescent="0.3">
      <c r="A755">
        <v>1526273</v>
      </c>
      <c r="B755" t="s">
        <v>3393</v>
      </c>
      <c r="D755" t="s">
        <v>1011</v>
      </c>
      <c r="E755" t="s">
        <v>1011</v>
      </c>
      <c r="F755">
        <v>2017</v>
      </c>
      <c r="G755" t="s">
        <v>1041</v>
      </c>
      <c r="H755" t="s">
        <v>3394</v>
      </c>
      <c r="I755" t="s">
        <v>3395</v>
      </c>
      <c r="J755" t="s">
        <v>24</v>
      </c>
      <c r="K755" t="s">
        <v>25</v>
      </c>
      <c r="L755" t="b">
        <v>1</v>
      </c>
      <c r="M755" t="s">
        <v>3396</v>
      </c>
      <c r="N755" t="str">
        <f>"200.973/09051"</f>
        <v>200.973/09051</v>
      </c>
      <c r="P755" t="b">
        <v>0</v>
      </c>
      <c r="R755" t="str">
        <f>"9780801448270"</f>
        <v>9780801448270</v>
      </c>
      <c r="S755" t="str">
        <f>"9781501708541"</f>
        <v>9781501708541</v>
      </c>
      <c r="T755">
        <v>961388391</v>
      </c>
    </row>
    <row r="756" spans="1:20" x14ac:dyDescent="0.3">
      <c r="A756">
        <v>1526270</v>
      </c>
      <c r="B756" t="s">
        <v>3397</v>
      </c>
      <c r="C756" t="s">
        <v>3398</v>
      </c>
      <c r="D756" t="s">
        <v>1011</v>
      </c>
      <c r="E756" t="s">
        <v>1011</v>
      </c>
      <c r="F756">
        <v>2017</v>
      </c>
      <c r="G756" t="s">
        <v>1842</v>
      </c>
      <c r="H756" t="s">
        <v>3399</v>
      </c>
      <c r="I756" t="s">
        <v>3400</v>
      </c>
      <c r="J756" t="s">
        <v>24</v>
      </c>
      <c r="K756" t="s">
        <v>25</v>
      </c>
      <c r="L756" t="b">
        <v>1</v>
      </c>
      <c r="M756" t="s">
        <v>3401</v>
      </c>
      <c r="N756" t="str">
        <f>"202/.3"</f>
        <v>202/.3</v>
      </c>
      <c r="P756" t="b">
        <v>0</v>
      </c>
      <c r="R756" t="str">
        <f>"9781501707803"</f>
        <v>9781501707803</v>
      </c>
      <c r="S756" t="str">
        <f>"9781501712494"</f>
        <v>9781501712494</v>
      </c>
      <c r="T756">
        <v>963231177</v>
      </c>
    </row>
    <row r="757" spans="1:20" x14ac:dyDescent="0.3">
      <c r="A757">
        <v>1525798</v>
      </c>
      <c r="B757" t="s">
        <v>3402</v>
      </c>
      <c r="C757" t="s">
        <v>3403</v>
      </c>
      <c r="D757" t="s">
        <v>3080</v>
      </c>
      <c r="E757" t="s">
        <v>3404</v>
      </c>
      <c r="F757">
        <v>2017</v>
      </c>
      <c r="G757" t="s">
        <v>1745</v>
      </c>
      <c r="H757" t="s">
        <v>3405</v>
      </c>
      <c r="I757" t="s">
        <v>3406</v>
      </c>
      <c r="J757" t="s">
        <v>24</v>
      </c>
      <c r="K757" t="s">
        <v>25</v>
      </c>
      <c r="L757" t="b">
        <v>1</v>
      </c>
      <c r="M757" t="s">
        <v>3407</v>
      </c>
      <c r="N757" t="str">
        <f>"331.25240951"</f>
        <v>331.25240951</v>
      </c>
      <c r="P757" t="b">
        <v>0</v>
      </c>
      <c r="Q757" t="b">
        <v>0</v>
      </c>
      <c r="R757" t="str">
        <f>"9781844644803"</f>
        <v>9781844644803</v>
      </c>
      <c r="S757" t="str">
        <f>"9781844644810"</f>
        <v>9781844644810</v>
      </c>
      <c r="T757">
        <v>988218903</v>
      </c>
    </row>
    <row r="758" spans="1:20" x14ac:dyDescent="0.3">
      <c r="A758">
        <v>1523516</v>
      </c>
      <c r="B758" t="s">
        <v>3408</v>
      </c>
      <c r="D758" t="s">
        <v>3248</v>
      </c>
      <c r="E758" t="s">
        <v>3248</v>
      </c>
      <c r="F758">
        <v>2017</v>
      </c>
      <c r="G758" t="s">
        <v>3249</v>
      </c>
      <c r="H758" t="s">
        <v>3409</v>
      </c>
      <c r="I758" t="s">
        <v>3410</v>
      </c>
      <c r="J758" t="s">
        <v>24</v>
      </c>
      <c r="K758" t="s">
        <v>25</v>
      </c>
      <c r="L758" t="b">
        <v>1</v>
      </c>
      <c r="M758" t="s">
        <v>3411</v>
      </c>
      <c r="N758" t="str">
        <f>"234/.165088282"</f>
        <v>234/.165088282</v>
      </c>
      <c r="P758" t="b">
        <v>0</v>
      </c>
      <c r="Q758" t="b">
        <v>0</v>
      </c>
      <c r="R758" t="str">
        <f>"9780813229522"</f>
        <v>9780813229522</v>
      </c>
      <c r="S758" t="str">
        <f>"9780813229539"</f>
        <v>9780813229539</v>
      </c>
      <c r="T758">
        <v>988029042</v>
      </c>
    </row>
    <row r="759" spans="1:20" x14ac:dyDescent="0.3">
      <c r="A759">
        <v>1523473</v>
      </c>
      <c r="B759" t="s">
        <v>3412</v>
      </c>
      <c r="C759" t="s">
        <v>3413</v>
      </c>
      <c r="D759" t="s">
        <v>1226</v>
      </c>
      <c r="E759" t="s">
        <v>3414</v>
      </c>
      <c r="F759">
        <v>2017</v>
      </c>
      <c r="G759" t="s">
        <v>3415</v>
      </c>
      <c r="H759" t="s">
        <v>3416</v>
      </c>
      <c r="J759" t="s">
        <v>24</v>
      </c>
      <c r="K759" t="s">
        <v>25</v>
      </c>
      <c r="L759" t="b">
        <v>1</v>
      </c>
      <c r="M759" t="s">
        <v>3417</v>
      </c>
      <c r="N759" t="str">
        <f>"960.33"</f>
        <v>960.33</v>
      </c>
      <c r="P759" t="b">
        <v>0</v>
      </c>
      <c r="R759" t="str">
        <f>"9789956764082"</f>
        <v>9789956764082</v>
      </c>
      <c r="S759" t="str">
        <f>"9789956762576"</f>
        <v>9789956762576</v>
      </c>
      <c r="T759">
        <v>988866073</v>
      </c>
    </row>
    <row r="760" spans="1:20" x14ac:dyDescent="0.3">
      <c r="A760">
        <v>1523472</v>
      </c>
      <c r="B760" t="s">
        <v>3418</v>
      </c>
      <c r="C760" t="s">
        <v>3419</v>
      </c>
      <c r="D760" t="s">
        <v>1226</v>
      </c>
      <c r="E760" t="s">
        <v>3414</v>
      </c>
      <c r="F760">
        <v>2017</v>
      </c>
      <c r="G760" t="s">
        <v>1050</v>
      </c>
      <c r="H760" t="s">
        <v>3420</v>
      </c>
      <c r="J760" t="s">
        <v>24</v>
      </c>
      <c r="K760" t="s">
        <v>25</v>
      </c>
      <c r="L760" t="b">
        <v>1</v>
      </c>
      <c r="M760" t="s">
        <v>3421</v>
      </c>
      <c r="N760" t="str">
        <f>"968.910072"</f>
        <v>968.910072</v>
      </c>
      <c r="P760" t="b">
        <v>0</v>
      </c>
      <c r="R760" t="str">
        <f>"9789956764198"</f>
        <v>9789956764198</v>
      </c>
      <c r="S760" t="str">
        <f>"9789956762453"</f>
        <v>9789956762453</v>
      </c>
      <c r="T760">
        <v>988870792</v>
      </c>
    </row>
    <row r="761" spans="1:20" x14ac:dyDescent="0.3">
      <c r="A761">
        <v>1523471</v>
      </c>
      <c r="B761" t="s">
        <v>3422</v>
      </c>
      <c r="D761" t="s">
        <v>1226</v>
      </c>
      <c r="E761" t="s">
        <v>3414</v>
      </c>
      <c r="F761">
        <v>2017</v>
      </c>
      <c r="G761" t="s">
        <v>3423</v>
      </c>
      <c r="H761" t="s">
        <v>3424</v>
      </c>
      <c r="I761" t="s">
        <v>3425</v>
      </c>
      <c r="J761" t="s">
        <v>24</v>
      </c>
      <c r="K761" t="s">
        <v>25</v>
      </c>
      <c r="L761" t="b">
        <v>1</v>
      </c>
      <c r="M761" t="s">
        <v>3426</v>
      </c>
      <c r="N761" t="str">
        <f>"808.81"</f>
        <v>808.81</v>
      </c>
      <c r="P761" t="b">
        <v>0</v>
      </c>
      <c r="R761" t="str">
        <f>"9789956764075"</f>
        <v>9789956764075</v>
      </c>
      <c r="S761" t="str">
        <f>"9789956762330"</f>
        <v>9789956762330</v>
      </c>
      <c r="T761">
        <v>988084507</v>
      </c>
    </row>
    <row r="762" spans="1:20" x14ac:dyDescent="0.3">
      <c r="A762">
        <v>1523470</v>
      </c>
      <c r="B762" t="s">
        <v>3427</v>
      </c>
      <c r="D762" t="s">
        <v>1226</v>
      </c>
      <c r="E762" t="s">
        <v>3414</v>
      </c>
      <c r="F762">
        <v>2017</v>
      </c>
      <c r="G762" t="s">
        <v>3428</v>
      </c>
      <c r="H762" t="s">
        <v>3429</v>
      </c>
      <c r="I762" t="s">
        <v>3430</v>
      </c>
      <c r="J762" t="s">
        <v>24</v>
      </c>
      <c r="K762" t="s">
        <v>25</v>
      </c>
      <c r="L762" t="b">
        <v>1</v>
      </c>
      <c r="M762" t="s">
        <v>3431</v>
      </c>
      <c r="N762" t="str">
        <f>"809.93352054"</f>
        <v>809.93352054</v>
      </c>
      <c r="P762" t="b">
        <v>0</v>
      </c>
      <c r="R762" t="str">
        <f>"9789956764907"</f>
        <v>9789956764907</v>
      </c>
      <c r="S762" t="str">
        <f>"9789956762217"</f>
        <v>9789956762217</v>
      </c>
      <c r="T762">
        <v>988085292</v>
      </c>
    </row>
    <row r="763" spans="1:20" x14ac:dyDescent="0.3">
      <c r="A763">
        <v>1523455</v>
      </c>
      <c r="B763" t="s">
        <v>3432</v>
      </c>
      <c r="C763" t="s">
        <v>3433</v>
      </c>
      <c r="D763" t="s">
        <v>1226</v>
      </c>
      <c r="E763" t="s">
        <v>3434</v>
      </c>
      <c r="F763">
        <v>2017</v>
      </c>
      <c r="G763" t="s">
        <v>3415</v>
      </c>
      <c r="H763" t="s">
        <v>3435</v>
      </c>
      <c r="J763" t="s">
        <v>24</v>
      </c>
      <c r="K763" t="s">
        <v>25</v>
      </c>
      <c r="L763" t="b">
        <v>1</v>
      </c>
      <c r="M763" t="s">
        <v>3436</v>
      </c>
      <c r="N763" t="str">
        <f>"960.32"</f>
        <v>960.32</v>
      </c>
      <c r="P763" t="b">
        <v>0</v>
      </c>
      <c r="R763" t="str">
        <f>"9780798305006"</f>
        <v>9780798305006</v>
      </c>
      <c r="S763" t="str">
        <f>"9780798305020"</f>
        <v>9780798305020</v>
      </c>
      <c r="T763">
        <v>988868583</v>
      </c>
    </row>
    <row r="764" spans="1:20" x14ac:dyDescent="0.3">
      <c r="A764">
        <v>1523378</v>
      </c>
      <c r="B764" t="s">
        <v>3437</v>
      </c>
      <c r="C764" t="s">
        <v>3438</v>
      </c>
      <c r="D764" t="s">
        <v>2567</v>
      </c>
      <c r="E764" t="s">
        <v>2568</v>
      </c>
      <c r="F764">
        <v>2017</v>
      </c>
      <c r="G764" t="s">
        <v>3439</v>
      </c>
      <c r="H764" t="s">
        <v>3440</v>
      </c>
      <c r="I764" t="s">
        <v>3441</v>
      </c>
      <c r="J764" t="s">
        <v>2571</v>
      </c>
      <c r="K764" t="s">
        <v>25</v>
      </c>
      <c r="L764" t="b">
        <v>1</v>
      </c>
      <c r="M764" t="s">
        <v>3442</v>
      </c>
      <c r="N764" t="str">
        <f>"005.1"</f>
        <v>005.1</v>
      </c>
      <c r="P764" t="b">
        <v>0</v>
      </c>
      <c r="R764" t="str">
        <f>"9784764905368"</f>
        <v>9784764905368</v>
      </c>
      <c r="S764" t="str">
        <f>"9784764971196"</f>
        <v>9784764971196</v>
      </c>
      <c r="T764">
        <v>988028691</v>
      </c>
    </row>
    <row r="765" spans="1:20" x14ac:dyDescent="0.3">
      <c r="A765">
        <v>1522333</v>
      </c>
      <c r="B765" t="s">
        <v>3443</v>
      </c>
      <c r="C765" t="s">
        <v>3444</v>
      </c>
      <c r="D765" t="s">
        <v>3445</v>
      </c>
      <c r="E765" t="s">
        <v>3446</v>
      </c>
      <c r="F765">
        <v>2017</v>
      </c>
      <c r="G765" t="s">
        <v>2650</v>
      </c>
      <c r="H765" t="s">
        <v>3447</v>
      </c>
      <c r="I765" t="s">
        <v>3448</v>
      </c>
      <c r="J765" t="s">
        <v>24</v>
      </c>
      <c r="K765" t="s">
        <v>55</v>
      </c>
      <c r="L765" t="b">
        <v>1</v>
      </c>
      <c r="M765" t="s">
        <v>3449</v>
      </c>
      <c r="N765" t="str">
        <f>"658.45"</f>
        <v>658.45</v>
      </c>
      <c r="P765" t="b">
        <v>0</v>
      </c>
      <c r="Q765" t="b">
        <v>0</v>
      </c>
      <c r="R765" t="str">
        <f>"9781562867690"</f>
        <v>9781562867690</v>
      </c>
      <c r="S765" t="str">
        <f>"9781562869823"</f>
        <v>9781562869823</v>
      </c>
      <c r="T765">
        <v>987911238</v>
      </c>
    </row>
    <row r="766" spans="1:20" x14ac:dyDescent="0.3">
      <c r="A766">
        <v>1522332</v>
      </c>
      <c r="B766" t="s">
        <v>3450</v>
      </c>
      <c r="C766" t="s">
        <v>3451</v>
      </c>
      <c r="D766" t="s">
        <v>3445</v>
      </c>
      <c r="E766" t="s">
        <v>3446</v>
      </c>
      <c r="F766">
        <v>2017</v>
      </c>
      <c r="G766" t="s">
        <v>2650</v>
      </c>
      <c r="H766" t="s">
        <v>3452</v>
      </c>
      <c r="I766" t="s">
        <v>3453</v>
      </c>
      <c r="J766" t="s">
        <v>442</v>
      </c>
      <c r="K766" t="s">
        <v>55</v>
      </c>
      <c r="L766" t="b">
        <v>1</v>
      </c>
      <c r="M766" t="s">
        <v>3454</v>
      </c>
      <c r="N766" t="str">
        <f>"658.3124"</f>
        <v>658.3124</v>
      </c>
      <c r="P766" t="b">
        <v>0</v>
      </c>
      <c r="Q766" t="b">
        <v>0</v>
      </c>
      <c r="R766" t="str">
        <f>"9781562861094"</f>
        <v>9781562861094</v>
      </c>
      <c r="S766" t="str">
        <f>"9781562861025"</f>
        <v>9781562861025</v>
      </c>
      <c r="T766">
        <v>1006969824</v>
      </c>
    </row>
    <row r="767" spans="1:20" x14ac:dyDescent="0.3">
      <c r="A767">
        <v>1522274</v>
      </c>
      <c r="B767" t="s">
        <v>3455</v>
      </c>
      <c r="C767" t="s">
        <v>3456</v>
      </c>
      <c r="D767" t="s">
        <v>2896</v>
      </c>
      <c r="E767" t="s">
        <v>2897</v>
      </c>
      <c r="F767">
        <v>2017</v>
      </c>
      <c r="G767" t="s">
        <v>2666</v>
      </c>
      <c r="H767" t="s">
        <v>3457</v>
      </c>
      <c r="I767" t="s">
        <v>3458</v>
      </c>
      <c r="J767" t="s">
        <v>24</v>
      </c>
      <c r="K767" t="s">
        <v>269</v>
      </c>
      <c r="L767" t="b">
        <v>1</v>
      </c>
      <c r="M767" t="s">
        <v>3459</v>
      </c>
      <c r="N767" t="str">
        <f>"616.85/83"</f>
        <v>616.85/83</v>
      </c>
      <c r="O767" t="s">
        <v>3460</v>
      </c>
      <c r="P767" t="b">
        <v>0</v>
      </c>
      <c r="Q767" t="b">
        <v>0</v>
      </c>
      <c r="R767" t="str">
        <f>"9781936590032"</f>
        <v>9781936590032</v>
      </c>
      <c r="S767" t="str">
        <f>"9781936590575"</f>
        <v>9781936590575</v>
      </c>
      <c r="T767">
        <v>987909682</v>
      </c>
    </row>
    <row r="768" spans="1:20" x14ac:dyDescent="0.3">
      <c r="A768">
        <v>1522273</v>
      </c>
      <c r="B768" t="s">
        <v>3461</v>
      </c>
      <c r="C768" t="s">
        <v>3462</v>
      </c>
      <c r="D768" t="s">
        <v>2896</v>
      </c>
      <c r="E768" t="s">
        <v>2897</v>
      </c>
      <c r="F768">
        <v>2017</v>
      </c>
      <c r="G768" t="s">
        <v>2666</v>
      </c>
      <c r="H768" t="s">
        <v>3457</v>
      </c>
      <c r="I768" t="s">
        <v>3458</v>
      </c>
      <c r="J768" t="s">
        <v>24</v>
      </c>
      <c r="K768" t="s">
        <v>269</v>
      </c>
      <c r="L768" t="b">
        <v>1</v>
      </c>
      <c r="M768" t="s">
        <v>3459</v>
      </c>
      <c r="N768" t="str">
        <f>"616.85/83"</f>
        <v>616.85/83</v>
      </c>
      <c r="O768" t="s">
        <v>3460</v>
      </c>
      <c r="P768" t="b">
        <v>0</v>
      </c>
      <c r="Q768" t="b">
        <v>0</v>
      </c>
      <c r="R768" t="str">
        <f>"9781936590025"</f>
        <v>9781936590025</v>
      </c>
      <c r="S768" t="str">
        <f>"9781936590568"</f>
        <v>9781936590568</v>
      </c>
      <c r="T768">
        <v>987909453</v>
      </c>
    </row>
    <row r="769" spans="1:20" x14ac:dyDescent="0.3">
      <c r="A769">
        <v>1522272</v>
      </c>
      <c r="B769" t="s">
        <v>3463</v>
      </c>
      <c r="C769" t="s">
        <v>3464</v>
      </c>
      <c r="D769" t="s">
        <v>2896</v>
      </c>
      <c r="E769" t="s">
        <v>2897</v>
      </c>
      <c r="F769">
        <v>2017</v>
      </c>
      <c r="G769" t="s">
        <v>2666</v>
      </c>
      <c r="H769" t="s">
        <v>3457</v>
      </c>
      <c r="I769" t="s">
        <v>3458</v>
      </c>
      <c r="J769" t="s">
        <v>24</v>
      </c>
      <c r="K769" t="s">
        <v>269</v>
      </c>
      <c r="L769" t="b">
        <v>1</v>
      </c>
      <c r="M769" t="s">
        <v>3459</v>
      </c>
      <c r="N769" t="str">
        <f>"616.85/83"</f>
        <v>616.85/83</v>
      </c>
      <c r="O769" t="s">
        <v>3460</v>
      </c>
      <c r="P769" t="b">
        <v>0</v>
      </c>
      <c r="Q769" t="b">
        <v>0</v>
      </c>
      <c r="R769" t="str">
        <f>"9781936590018"</f>
        <v>9781936590018</v>
      </c>
      <c r="S769" t="str">
        <f>"9781936590476"</f>
        <v>9781936590476</v>
      </c>
      <c r="T769">
        <v>987909224</v>
      </c>
    </row>
    <row r="770" spans="1:20" x14ac:dyDescent="0.3">
      <c r="A770">
        <v>1522093</v>
      </c>
      <c r="B770" t="s">
        <v>3465</v>
      </c>
      <c r="D770" t="s">
        <v>2685</v>
      </c>
      <c r="E770" t="s">
        <v>2685</v>
      </c>
      <c r="F770">
        <v>2017</v>
      </c>
      <c r="J770" t="s">
        <v>580</v>
      </c>
      <c r="K770" t="s">
        <v>269</v>
      </c>
      <c r="L770" t="b">
        <v>1</v>
      </c>
      <c r="M770" t="s">
        <v>3466</v>
      </c>
      <c r="P770" t="b">
        <v>0</v>
      </c>
      <c r="S770" t="str">
        <f>"9786078528301"</f>
        <v>9786078528301</v>
      </c>
    </row>
    <row r="771" spans="1:20" x14ac:dyDescent="0.3">
      <c r="A771">
        <v>1522092</v>
      </c>
      <c r="B771" t="s">
        <v>3467</v>
      </c>
      <c r="D771" t="s">
        <v>2685</v>
      </c>
      <c r="E771" t="s">
        <v>2685</v>
      </c>
      <c r="F771">
        <v>2017</v>
      </c>
      <c r="J771" t="s">
        <v>580</v>
      </c>
      <c r="K771" t="s">
        <v>269</v>
      </c>
      <c r="L771" t="b">
        <v>1</v>
      </c>
      <c r="M771" t="s">
        <v>3468</v>
      </c>
      <c r="P771" t="b">
        <v>0</v>
      </c>
      <c r="S771" t="str">
        <f>"9786078528288"</f>
        <v>9786078528288</v>
      </c>
    </row>
    <row r="772" spans="1:20" x14ac:dyDescent="0.3">
      <c r="A772">
        <v>1522091</v>
      </c>
      <c r="B772" t="s">
        <v>3469</v>
      </c>
      <c r="D772" t="s">
        <v>2685</v>
      </c>
      <c r="E772" t="s">
        <v>2685</v>
      </c>
      <c r="F772">
        <v>2017</v>
      </c>
      <c r="J772" t="s">
        <v>580</v>
      </c>
      <c r="K772" t="s">
        <v>269</v>
      </c>
      <c r="L772" t="b">
        <v>1</v>
      </c>
      <c r="M772" t="s">
        <v>3470</v>
      </c>
      <c r="P772" t="b">
        <v>0</v>
      </c>
      <c r="S772" t="str">
        <f>"9786078528141"</f>
        <v>9786078528141</v>
      </c>
    </row>
    <row r="773" spans="1:20" x14ac:dyDescent="0.3">
      <c r="A773">
        <v>1522090</v>
      </c>
      <c r="B773" t="s">
        <v>3471</v>
      </c>
      <c r="D773" t="s">
        <v>2685</v>
      </c>
      <c r="E773" t="s">
        <v>2685</v>
      </c>
      <c r="F773">
        <v>2017</v>
      </c>
      <c r="J773" t="s">
        <v>580</v>
      </c>
      <c r="K773" t="s">
        <v>269</v>
      </c>
      <c r="L773" t="b">
        <v>1</v>
      </c>
      <c r="M773" t="s">
        <v>3472</v>
      </c>
      <c r="P773" t="b">
        <v>0</v>
      </c>
      <c r="S773" t="str">
        <f>"9786078528196"</f>
        <v>9786078528196</v>
      </c>
    </row>
    <row r="774" spans="1:20" x14ac:dyDescent="0.3">
      <c r="A774">
        <v>1522089</v>
      </c>
      <c r="B774" t="s">
        <v>3473</v>
      </c>
      <c r="D774" t="s">
        <v>2685</v>
      </c>
      <c r="E774" t="s">
        <v>2685</v>
      </c>
      <c r="F774">
        <v>2017</v>
      </c>
      <c r="J774" t="s">
        <v>580</v>
      </c>
      <c r="K774" t="s">
        <v>269</v>
      </c>
      <c r="L774" t="b">
        <v>1</v>
      </c>
      <c r="M774" t="s">
        <v>3474</v>
      </c>
      <c r="P774" t="b">
        <v>0</v>
      </c>
      <c r="S774" t="str">
        <f>"9786078528226"</f>
        <v>9786078528226</v>
      </c>
    </row>
    <row r="775" spans="1:20" x14ac:dyDescent="0.3">
      <c r="A775">
        <v>1522088</v>
      </c>
      <c r="B775" t="s">
        <v>3475</v>
      </c>
      <c r="D775" t="s">
        <v>2685</v>
      </c>
      <c r="E775" t="s">
        <v>2685</v>
      </c>
      <c r="F775">
        <v>2017</v>
      </c>
      <c r="J775" t="s">
        <v>580</v>
      </c>
      <c r="K775" t="s">
        <v>269</v>
      </c>
      <c r="L775" t="b">
        <v>1</v>
      </c>
      <c r="M775" t="s">
        <v>3476</v>
      </c>
      <c r="P775" t="b">
        <v>0</v>
      </c>
      <c r="S775" t="str">
        <f>"9786078528264"</f>
        <v>9786078528264</v>
      </c>
    </row>
    <row r="776" spans="1:20" x14ac:dyDescent="0.3">
      <c r="A776">
        <v>1522087</v>
      </c>
      <c r="B776" t="s">
        <v>3477</v>
      </c>
      <c r="D776" t="s">
        <v>2685</v>
      </c>
      <c r="E776" t="s">
        <v>2685</v>
      </c>
      <c r="F776">
        <v>2017</v>
      </c>
      <c r="G776" t="s">
        <v>974</v>
      </c>
      <c r="H776" t="s">
        <v>3478</v>
      </c>
      <c r="I776" t="s">
        <v>3479</v>
      </c>
      <c r="J776" t="s">
        <v>580</v>
      </c>
      <c r="K776" t="s">
        <v>269</v>
      </c>
      <c r="L776" t="b">
        <v>1</v>
      </c>
      <c r="M776" t="s">
        <v>3480</v>
      </c>
      <c r="N776" t="str">
        <f>"210"</f>
        <v>210</v>
      </c>
      <c r="P776" t="b">
        <v>0</v>
      </c>
      <c r="S776" t="str">
        <f>"9786078528189"</f>
        <v>9786078528189</v>
      </c>
      <c r="T776">
        <v>988048945</v>
      </c>
    </row>
    <row r="777" spans="1:20" x14ac:dyDescent="0.3">
      <c r="A777">
        <v>1522086</v>
      </c>
      <c r="B777" t="s">
        <v>3481</v>
      </c>
      <c r="C777" t="s">
        <v>3482</v>
      </c>
      <c r="D777" t="s">
        <v>2685</v>
      </c>
      <c r="E777" t="s">
        <v>2685</v>
      </c>
      <c r="F777">
        <v>2017</v>
      </c>
      <c r="G777" t="s">
        <v>1739</v>
      </c>
      <c r="H777" t="s">
        <v>3483</v>
      </c>
      <c r="I777" t="s">
        <v>3484</v>
      </c>
      <c r="J777" t="s">
        <v>580</v>
      </c>
      <c r="K777" t="s">
        <v>269</v>
      </c>
      <c r="L777" t="b">
        <v>1</v>
      </c>
      <c r="M777" t="s">
        <v>3485</v>
      </c>
      <c r="N777" t="str">
        <f>"323.60972"</f>
        <v>323.60972</v>
      </c>
      <c r="O777" t="s">
        <v>3486</v>
      </c>
      <c r="P777" t="b">
        <v>0</v>
      </c>
      <c r="S777" t="str">
        <f>"9786078528233"</f>
        <v>9786078528233</v>
      </c>
      <c r="T777">
        <v>1015309705</v>
      </c>
    </row>
    <row r="778" spans="1:20" x14ac:dyDescent="0.3">
      <c r="A778">
        <v>1521984</v>
      </c>
      <c r="B778" t="s">
        <v>3487</v>
      </c>
      <c r="C778" t="s">
        <v>3488</v>
      </c>
      <c r="D778" t="s">
        <v>3489</v>
      </c>
      <c r="E778" t="s">
        <v>3489</v>
      </c>
      <c r="F778">
        <v>2016</v>
      </c>
      <c r="G778" t="s">
        <v>3490</v>
      </c>
      <c r="H778" t="s">
        <v>3491</v>
      </c>
      <c r="I778" t="s">
        <v>3492</v>
      </c>
      <c r="J778" t="s">
        <v>3493</v>
      </c>
      <c r="K778" t="s">
        <v>25</v>
      </c>
      <c r="L778" t="b">
        <v>1</v>
      </c>
      <c r="M778" t="s">
        <v>3494</v>
      </c>
      <c r="N778" t="str">
        <f>"610.71/1493"</f>
        <v>610.71/1493</v>
      </c>
      <c r="O778" t="s">
        <v>3495</v>
      </c>
      <c r="P778" t="b">
        <v>0</v>
      </c>
      <c r="Q778" t="b">
        <v>0</v>
      </c>
      <c r="R778" t="str">
        <f>"9789462700888"</f>
        <v>9789462700888</v>
      </c>
      <c r="S778" t="str">
        <f>"9789461662309"</f>
        <v>9789461662309</v>
      </c>
      <c r="T778">
        <v>987724792</v>
      </c>
    </row>
    <row r="779" spans="1:20" x14ac:dyDescent="0.3">
      <c r="A779">
        <v>1521978</v>
      </c>
      <c r="B779" t="s">
        <v>3496</v>
      </c>
      <c r="D779" t="s">
        <v>3497</v>
      </c>
      <c r="E779" t="s">
        <v>3498</v>
      </c>
      <c r="F779">
        <v>2017</v>
      </c>
      <c r="G779" t="s">
        <v>3499</v>
      </c>
      <c r="H779" t="s">
        <v>3500</v>
      </c>
      <c r="I779" t="s">
        <v>3501</v>
      </c>
      <c r="J779" t="s">
        <v>24</v>
      </c>
      <c r="K779" t="s">
        <v>25</v>
      </c>
      <c r="L779" t="b">
        <v>1</v>
      </c>
      <c r="M779" t="s">
        <v>3502</v>
      </c>
      <c r="N779" t="str">
        <f>"595.4"</f>
        <v>595.4</v>
      </c>
      <c r="P779" t="b">
        <v>0</v>
      </c>
      <c r="R779" t="str">
        <f>"9780643107076"</f>
        <v>9780643107076</v>
      </c>
      <c r="S779" t="str">
        <f>"9780643107083"</f>
        <v>9780643107083</v>
      </c>
      <c r="T779">
        <v>973390260</v>
      </c>
    </row>
    <row r="780" spans="1:20" x14ac:dyDescent="0.3">
      <c r="A780">
        <v>1521957</v>
      </c>
      <c r="B780" t="s">
        <v>3503</v>
      </c>
      <c r="C780" t="s">
        <v>3504</v>
      </c>
      <c r="D780" t="s">
        <v>3505</v>
      </c>
      <c r="E780" t="s">
        <v>3506</v>
      </c>
      <c r="F780">
        <v>2017</v>
      </c>
      <c r="G780" t="s">
        <v>287</v>
      </c>
      <c r="H780" t="s">
        <v>3507</v>
      </c>
      <c r="I780" t="s">
        <v>3508</v>
      </c>
      <c r="J780" t="s">
        <v>24</v>
      </c>
      <c r="K780" t="s">
        <v>269</v>
      </c>
      <c r="L780" t="b">
        <v>0</v>
      </c>
      <c r="M780" t="s">
        <v>3509</v>
      </c>
      <c r="N780" t="str">
        <f>"190"</f>
        <v>190</v>
      </c>
      <c r="P780" t="b">
        <v>0</v>
      </c>
      <c r="R780" t="str">
        <f>"9780773550414"</f>
        <v>9780773550414</v>
      </c>
      <c r="S780" t="str">
        <f>"9780773550438"</f>
        <v>9780773550438</v>
      </c>
      <c r="T780">
        <v>964368867</v>
      </c>
    </row>
    <row r="781" spans="1:20" x14ac:dyDescent="0.3">
      <c r="A781">
        <v>1521955</v>
      </c>
      <c r="B781" t="s">
        <v>3510</v>
      </c>
      <c r="C781" t="s">
        <v>3511</v>
      </c>
      <c r="D781" t="s">
        <v>3505</v>
      </c>
      <c r="E781" t="s">
        <v>3506</v>
      </c>
      <c r="F781">
        <v>2017</v>
      </c>
      <c r="G781" t="s">
        <v>114</v>
      </c>
      <c r="H781" t="s">
        <v>3512</v>
      </c>
      <c r="I781" t="s">
        <v>3513</v>
      </c>
      <c r="J781" t="s">
        <v>24</v>
      </c>
      <c r="K781" t="s">
        <v>269</v>
      </c>
      <c r="L781" t="b">
        <v>0</v>
      </c>
      <c r="M781" t="s">
        <v>3514</v>
      </c>
      <c r="N781" t="str">
        <f>"971.80090909"</f>
        <v>971.80090909</v>
      </c>
      <c r="P781" t="b">
        <v>0</v>
      </c>
      <c r="R781" t="str">
        <f>"9780773549685"</f>
        <v>9780773549685</v>
      </c>
      <c r="S781" t="str">
        <f>"9780773549692"</f>
        <v>9780773549692</v>
      </c>
      <c r="T781">
        <v>970405835</v>
      </c>
    </row>
    <row r="782" spans="1:20" x14ac:dyDescent="0.3">
      <c r="A782">
        <v>1521924</v>
      </c>
      <c r="B782" t="s">
        <v>3515</v>
      </c>
      <c r="C782" t="s">
        <v>3516</v>
      </c>
      <c r="D782" t="s">
        <v>3517</v>
      </c>
      <c r="E782" t="s">
        <v>3518</v>
      </c>
      <c r="F782">
        <v>2017</v>
      </c>
      <c r="G782" t="s">
        <v>3519</v>
      </c>
      <c r="J782" t="s">
        <v>24</v>
      </c>
      <c r="K782" t="s">
        <v>269</v>
      </c>
      <c r="L782" t="b">
        <v>1</v>
      </c>
      <c r="M782" t="s">
        <v>3520</v>
      </c>
      <c r="P782" t="b">
        <v>0</v>
      </c>
      <c r="Q782" t="b">
        <v>0</v>
      </c>
      <c r="R782" t="str">
        <f>"9781557537867"</f>
        <v>9781557537867</v>
      </c>
      <c r="S782" t="str">
        <f>"9781612495040"</f>
        <v>9781612495040</v>
      </c>
    </row>
    <row r="783" spans="1:20" x14ac:dyDescent="0.3">
      <c r="A783">
        <v>1521920</v>
      </c>
      <c r="B783" t="s">
        <v>3521</v>
      </c>
      <c r="C783" t="s">
        <v>3522</v>
      </c>
      <c r="D783" t="s">
        <v>3517</v>
      </c>
      <c r="E783" t="s">
        <v>3518</v>
      </c>
      <c r="F783">
        <v>2017</v>
      </c>
      <c r="G783" t="s">
        <v>3523</v>
      </c>
      <c r="J783" t="s">
        <v>24</v>
      </c>
      <c r="K783" t="s">
        <v>269</v>
      </c>
      <c r="L783" t="b">
        <v>1</v>
      </c>
      <c r="M783" t="s">
        <v>3524</v>
      </c>
      <c r="O783" t="s">
        <v>3525</v>
      </c>
      <c r="P783" t="b">
        <v>0</v>
      </c>
      <c r="Q783" t="b">
        <v>0</v>
      </c>
      <c r="R783" t="str">
        <f>"9781557537591"</f>
        <v>9781557537591</v>
      </c>
      <c r="S783" t="str">
        <f>"9781612495064"</f>
        <v>9781612495064</v>
      </c>
    </row>
    <row r="784" spans="1:20" x14ac:dyDescent="0.3">
      <c r="A784">
        <v>1521727</v>
      </c>
      <c r="B784" t="s">
        <v>3526</v>
      </c>
      <c r="C784" t="s">
        <v>3527</v>
      </c>
      <c r="D784" t="s">
        <v>1011</v>
      </c>
      <c r="E784" t="s">
        <v>1011</v>
      </c>
      <c r="F784">
        <v>2017</v>
      </c>
      <c r="G784" t="s">
        <v>3528</v>
      </c>
      <c r="H784" t="s">
        <v>3529</v>
      </c>
      <c r="I784" t="s">
        <v>3530</v>
      </c>
      <c r="J784" t="s">
        <v>24</v>
      </c>
      <c r="K784" t="s">
        <v>25</v>
      </c>
      <c r="L784" t="b">
        <v>1</v>
      </c>
      <c r="M784" t="s">
        <v>3531</v>
      </c>
      <c r="N784" t="str">
        <f>"363.34/958095138"</f>
        <v>363.34/958095138</v>
      </c>
      <c r="P784" t="b">
        <v>0</v>
      </c>
      <c r="R784" t="str">
        <f>"9781501707537"</f>
        <v>9781501707537</v>
      </c>
      <c r="S784" t="str">
        <f>"9781501708503"</f>
        <v>9781501708503</v>
      </c>
      <c r="T784">
        <v>961266846</v>
      </c>
    </row>
    <row r="785" spans="1:20" x14ac:dyDescent="0.3">
      <c r="A785">
        <v>1521194</v>
      </c>
      <c r="B785" t="s">
        <v>3532</v>
      </c>
      <c r="C785" t="s">
        <v>3533</v>
      </c>
      <c r="D785" t="s">
        <v>3534</v>
      </c>
      <c r="E785" t="s">
        <v>3535</v>
      </c>
      <c r="F785">
        <v>2017</v>
      </c>
      <c r="G785" t="s">
        <v>3536</v>
      </c>
      <c r="H785" t="s">
        <v>3537</v>
      </c>
      <c r="I785" t="s">
        <v>3538</v>
      </c>
      <c r="J785" t="s">
        <v>24</v>
      </c>
      <c r="K785" t="s">
        <v>55</v>
      </c>
      <c r="L785" t="b">
        <v>1</v>
      </c>
      <c r="M785" t="s">
        <v>3539</v>
      </c>
      <c r="N785" t="str">
        <f>"658.40301"</f>
        <v>658.40301</v>
      </c>
      <c r="P785" t="b">
        <v>0</v>
      </c>
      <c r="R785" t="str">
        <f>"9789048627677"</f>
        <v>9789048627677</v>
      </c>
      <c r="S785" t="str">
        <f>"9782874034572"</f>
        <v>9782874034572</v>
      </c>
      <c r="T785">
        <v>987790928</v>
      </c>
    </row>
    <row r="786" spans="1:20" x14ac:dyDescent="0.3">
      <c r="A786">
        <v>1521192</v>
      </c>
      <c r="B786" t="s">
        <v>3540</v>
      </c>
      <c r="C786" t="s">
        <v>3541</v>
      </c>
      <c r="D786" t="s">
        <v>3534</v>
      </c>
      <c r="E786" t="s">
        <v>3535</v>
      </c>
      <c r="F786">
        <v>2017</v>
      </c>
      <c r="G786" t="s">
        <v>3542</v>
      </c>
      <c r="H786" t="s">
        <v>3543</v>
      </c>
      <c r="I786" t="s">
        <v>3544</v>
      </c>
      <c r="J786" t="s">
        <v>24</v>
      </c>
      <c r="K786" t="s">
        <v>55</v>
      </c>
      <c r="L786" t="b">
        <v>1</v>
      </c>
      <c r="M786" t="s">
        <v>3545</v>
      </c>
      <c r="N786" t="str">
        <f>"658.8"</f>
        <v>658.8</v>
      </c>
      <c r="P786" t="b">
        <v>0</v>
      </c>
      <c r="R786" t="str">
        <f>"9789048629404"</f>
        <v>9789048629404</v>
      </c>
      <c r="S786" t="str">
        <f>"9782874034596"</f>
        <v>9782874034596</v>
      </c>
      <c r="T786">
        <v>987791010</v>
      </c>
    </row>
    <row r="787" spans="1:20" x14ac:dyDescent="0.3">
      <c r="A787">
        <v>1520212</v>
      </c>
      <c r="B787" t="s">
        <v>3546</v>
      </c>
      <c r="D787" t="s">
        <v>45</v>
      </c>
      <c r="E787" t="s">
        <v>45</v>
      </c>
      <c r="F787">
        <v>2016</v>
      </c>
      <c r="G787" t="s">
        <v>3547</v>
      </c>
      <c r="J787" t="s">
        <v>2437</v>
      </c>
      <c r="K787" t="s">
        <v>25</v>
      </c>
      <c r="L787" t="b">
        <v>1</v>
      </c>
      <c r="M787" t="s">
        <v>3548</v>
      </c>
      <c r="O787" t="s">
        <v>3549</v>
      </c>
      <c r="P787" t="b">
        <v>1</v>
      </c>
      <c r="R787" t="str">
        <f>"9783110483802"</f>
        <v>9783110483802</v>
      </c>
      <c r="S787" t="str">
        <f>"9783110483789"</f>
        <v>9783110483789</v>
      </c>
    </row>
    <row r="788" spans="1:20" x14ac:dyDescent="0.3">
      <c r="A788">
        <v>1520211</v>
      </c>
      <c r="B788" t="s">
        <v>3550</v>
      </c>
      <c r="D788" t="s">
        <v>45</v>
      </c>
      <c r="E788" t="s">
        <v>45</v>
      </c>
      <c r="F788">
        <v>2016</v>
      </c>
      <c r="G788" t="s">
        <v>3547</v>
      </c>
      <c r="J788" t="s">
        <v>2437</v>
      </c>
      <c r="K788" t="s">
        <v>25</v>
      </c>
      <c r="L788" t="b">
        <v>1</v>
      </c>
      <c r="M788" t="s">
        <v>3551</v>
      </c>
      <c r="O788" t="s">
        <v>3549</v>
      </c>
      <c r="P788" t="b">
        <v>1</v>
      </c>
      <c r="R788" t="str">
        <f>"9783110483345"</f>
        <v>9783110483345</v>
      </c>
      <c r="S788" t="str">
        <f>"9783110483352"</f>
        <v>9783110483352</v>
      </c>
    </row>
    <row r="789" spans="1:20" x14ac:dyDescent="0.3">
      <c r="A789">
        <v>1520210</v>
      </c>
      <c r="B789" t="s">
        <v>3552</v>
      </c>
      <c r="D789" t="s">
        <v>45</v>
      </c>
      <c r="E789" t="s">
        <v>45</v>
      </c>
      <c r="F789">
        <v>2016</v>
      </c>
      <c r="G789" t="s">
        <v>3547</v>
      </c>
      <c r="J789" t="s">
        <v>2437</v>
      </c>
      <c r="K789" t="s">
        <v>25</v>
      </c>
      <c r="L789" t="b">
        <v>1</v>
      </c>
      <c r="M789" t="s">
        <v>3553</v>
      </c>
      <c r="O789" t="s">
        <v>3549</v>
      </c>
      <c r="P789" t="b">
        <v>1</v>
      </c>
      <c r="R789" t="str">
        <f>"9783110981858"</f>
        <v>9783110981858</v>
      </c>
      <c r="S789" t="str">
        <f>"9783111727301"</f>
        <v>9783111727301</v>
      </c>
    </row>
    <row r="790" spans="1:20" x14ac:dyDescent="0.3">
      <c r="A790">
        <v>1520177</v>
      </c>
      <c r="B790" t="s">
        <v>3554</v>
      </c>
      <c r="C790" t="s">
        <v>3555</v>
      </c>
      <c r="D790" t="s">
        <v>3556</v>
      </c>
      <c r="E790" t="s">
        <v>3557</v>
      </c>
      <c r="F790">
        <v>2017</v>
      </c>
      <c r="G790" t="s">
        <v>3558</v>
      </c>
      <c r="H790" t="s">
        <v>3559</v>
      </c>
      <c r="J790" t="s">
        <v>24</v>
      </c>
      <c r="K790" t="s">
        <v>25</v>
      </c>
      <c r="L790" t="b">
        <v>1</v>
      </c>
      <c r="M790" t="s">
        <v>3560</v>
      </c>
      <c r="N790" t="str">
        <f>"016.9109460922"</f>
        <v>016.9109460922</v>
      </c>
      <c r="O790" t="s">
        <v>3561</v>
      </c>
      <c r="P790" t="b">
        <v>0</v>
      </c>
      <c r="R790" t="str">
        <f>"9781409414926"</f>
        <v>9781409414926</v>
      </c>
      <c r="S790" t="str">
        <f>"9781317108573"</f>
        <v>9781317108573</v>
      </c>
      <c r="T790">
        <v>995777968</v>
      </c>
    </row>
    <row r="791" spans="1:20" x14ac:dyDescent="0.3">
      <c r="A791">
        <v>1519752</v>
      </c>
      <c r="B791" t="s">
        <v>3562</v>
      </c>
      <c r="C791" t="s">
        <v>3563</v>
      </c>
      <c r="D791" t="s">
        <v>3318</v>
      </c>
      <c r="E791" t="s">
        <v>3318</v>
      </c>
      <c r="F791">
        <v>2017</v>
      </c>
      <c r="G791" t="s">
        <v>1050</v>
      </c>
      <c r="H791" t="s">
        <v>3564</v>
      </c>
      <c r="I791" t="s">
        <v>3565</v>
      </c>
      <c r="J791" t="s">
        <v>24</v>
      </c>
      <c r="K791" t="s">
        <v>269</v>
      </c>
      <c r="L791" t="b">
        <v>1</v>
      </c>
      <c r="M791" t="s">
        <v>3566</v>
      </c>
      <c r="N791" t="str">
        <f>"155.4/18250951132"</f>
        <v>155.4/18250951132</v>
      </c>
      <c r="P791" t="b">
        <v>0</v>
      </c>
      <c r="R791" t="str">
        <f>"9780804799263"</f>
        <v>9780804799263</v>
      </c>
      <c r="S791" t="str">
        <f>"9781503602472"</f>
        <v>9781503602472</v>
      </c>
      <c r="T791">
        <v>987473746</v>
      </c>
    </row>
    <row r="792" spans="1:20" x14ac:dyDescent="0.3">
      <c r="A792">
        <v>1519632</v>
      </c>
      <c r="B792" t="s">
        <v>3567</v>
      </c>
      <c r="D792" t="s">
        <v>3497</v>
      </c>
      <c r="E792" t="s">
        <v>3498</v>
      </c>
      <c r="F792">
        <v>2017</v>
      </c>
      <c r="G792" t="s">
        <v>2763</v>
      </c>
      <c r="H792" t="s">
        <v>3568</v>
      </c>
      <c r="I792" t="s">
        <v>3569</v>
      </c>
      <c r="J792" t="s">
        <v>24</v>
      </c>
      <c r="K792" t="s">
        <v>25</v>
      </c>
      <c r="L792" t="b">
        <v>1</v>
      </c>
      <c r="M792" t="s">
        <v>3570</v>
      </c>
      <c r="N792" t="str">
        <f>"333.7"</f>
        <v>333.7</v>
      </c>
      <c r="P792" t="b">
        <v>0</v>
      </c>
      <c r="R792" t="str">
        <f>"9781486306404"</f>
        <v>9781486306404</v>
      </c>
      <c r="S792" t="str">
        <f>"9781486306411"</f>
        <v>9781486306411</v>
      </c>
      <c r="T792">
        <v>965614732</v>
      </c>
    </row>
    <row r="793" spans="1:20" x14ac:dyDescent="0.3">
      <c r="A793">
        <v>1519572</v>
      </c>
      <c r="B793" t="s">
        <v>3571</v>
      </c>
      <c r="C793" t="s">
        <v>3572</v>
      </c>
      <c r="D793" t="s">
        <v>32</v>
      </c>
      <c r="E793" t="s">
        <v>3573</v>
      </c>
      <c r="F793">
        <v>2017</v>
      </c>
      <c r="G793" t="s">
        <v>29</v>
      </c>
      <c r="H793" t="s">
        <v>3574</v>
      </c>
      <c r="I793" t="s">
        <v>3575</v>
      </c>
      <c r="J793" t="s">
        <v>24</v>
      </c>
      <c r="K793" t="s">
        <v>269</v>
      </c>
      <c r="L793" t="b">
        <v>1</v>
      </c>
      <c r="M793" t="s">
        <v>3576</v>
      </c>
      <c r="N793" t="str">
        <f>"930.1/0285"</f>
        <v>930.1/0285</v>
      </c>
      <c r="P793" t="b">
        <v>0</v>
      </c>
      <c r="R793" t="str">
        <f>"9781785704451"</f>
        <v>9781785704451</v>
      </c>
      <c r="S793" t="str">
        <f>"9781785704468"</f>
        <v>9781785704468</v>
      </c>
      <c r="T793">
        <v>983786218</v>
      </c>
    </row>
    <row r="794" spans="1:20" x14ac:dyDescent="0.3">
      <c r="A794">
        <v>1519558</v>
      </c>
      <c r="B794" t="s">
        <v>3577</v>
      </c>
      <c r="C794" t="s">
        <v>3578</v>
      </c>
      <c r="D794" t="s">
        <v>3158</v>
      </c>
      <c r="E794" t="s">
        <v>3158</v>
      </c>
      <c r="F794">
        <v>2017</v>
      </c>
      <c r="G794" t="s">
        <v>3153</v>
      </c>
      <c r="H794" t="s">
        <v>3579</v>
      </c>
      <c r="I794" t="s">
        <v>3580</v>
      </c>
      <c r="J794" t="s">
        <v>2437</v>
      </c>
      <c r="K794" t="s">
        <v>25</v>
      </c>
      <c r="L794" t="b">
        <v>1</v>
      </c>
      <c r="M794" t="s">
        <v>3581</v>
      </c>
      <c r="N794" t="str">
        <f>"371.9046"</f>
        <v>371.9046</v>
      </c>
      <c r="O794" t="s">
        <v>3582</v>
      </c>
      <c r="P794" t="b">
        <v>0</v>
      </c>
      <c r="R794" t="str">
        <f>"9783830935650"</f>
        <v>9783830935650</v>
      </c>
      <c r="S794" t="str">
        <f>"9783830985655"</f>
        <v>9783830985655</v>
      </c>
      <c r="T794">
        <v>989103477</v>
      </c>
    </row>
    <row r="795" spans="1:20" x14ac:dyDescent="0.3">
      <c r="A795">
        <v>1519547</v>
      </c>
      <c r="B795" t="s">
        <v>3583</v>
      </c>
      <c r="C795" t="s">
        <v>3584</v>
      </c>
      <c r="D795" t="s">
        <v>3158</v>
      </c>
      <c r="E795" t="s">
        <v>3158</v>
      </c>
      <c r="F795">
        <v>2017</v>
      </c>
      <c r="G795" t="s">
        <v>3585</v>
      </c>
      <c r="H795" t="s">
        <v>3586</v>
      </c>
      <c r="I795" t="s">
        <v>3587</v>
      </c>
      <c r="J795" t="s">
        <v>2437</v>
      </c>
      <c r="K795" t="s">
        <v>25</v>
      </c>
      <c r="L795" t="b">
        <v>1</v>
      </c>
      <c r="M795" t="s">
        <v>3588</v>
      </c>
      <c r="N795" t="str">
        <f>"788.05071"</f>
        <v>788.05071</v>
      </c>
      <c r="O795" t="s">
        <v>3589</v>
      </c>
      <c r="P795" t="b">
        <v>0</v>
      </c>
      <c r="R795" t="str">
        <f>"9783830935629"</f>
        <v>9783830935629</v>
      </c>
      <c r="S795" t="str">
        <f>"9783830985624"</f>
        <v>9783830985624</v>
      </c>
      <c r="T795">
        <v>989099888</v>
      </c>
    </row>
    <row r="796" spans="1:20" x14ac:dyDescent="0.3">
      <c r="A796">
        <v>1519482</v>
      </c>
      <c r="B796" t="s">
        <v>3590</v>
      </c>
      <c r="C796" t="s">
        <v>3591</v>
      </c>
      <c r="D796" t="s">
        <v>2432</v>
      </c>
      <c r="E796" t="s">
        <v>2433</v>
      </c>
      <c r="F796">
        <v>2017</v>
      </c>
      <c r="G796" t="s">
        <v>3592</v>
      </c>
      <c r="H796" t="s">
        <v>3593</v>
      </c>
      <c r="I796" t="s">
        <v>3594</v>
      </c>
      <c r="J796" t="s">
        <v>2437</v>
      </c>
      <c r="K796" t="s">
        <v>25</v>
      </c>
      <c r="L796" t="b">
        <v>1</v>
      </c>
      <c r="M796" t="s">
        <v>3595</v>
      </c>
      <c r="N796" t="str">
        <f>"155.4"</f>
        <v>155.4</v>
      </c>
      <c r="O796" t="s">
        <v>3596</v>
      </c>
      <c r="P796" t="b">
        <v>0</v>
      </c>
      <c r="R796" t="str">
        <f>"9783737602822"</f>
        <v>9783737602822</v>
      </c>
      <c r="S796" t="str">
        <f>"9783737602839"</f>
        <v>9783737602839</v>
      </c>
      <c r="T796">
        <v>987439218</v>
      </c>
    </row>
    <row r="797" spans="1:20" x14ac:dyDescent="0.3">
      <c r="A797">
        <v>1519481</v>
      </c>
      <c r="B797" t="s">
        <v>3597</v>
      </c>
      <c r="C797" t="s">
        <v>3598</v>
      </c>
      <c r="D797" t="s">
        <v>2432</v>
      </c>
      <c r="E797" t="s">
        <v>2433</v>
      </c>
      <c r="F797">
        <v>2017</v>
      </c>
      <c r="G797" t="s">
        <v>922</v>
      </c>
      <c r="H797" t="s">
        <v>3599</v>
      </c>
      <c r="I797" t="s">
        <v>3600</v>
      </c>
      <c r="J797" t="s">
        <v>2437</v>
      </c>
      <c r="K797" t="s">
        <v>25</v>
      </c>
      <c r="L797" t="b">
        <v>1</v>
      </c>
      <c r="M797" t="s">
        <v>3601</v>
      </c>
      <c r="N797" t="str">
        <f>"620.5"</f>
        <v>620.5</v>
      </c>
      <c r="O797" t="s">
        <v>3602</v>
      </c>
      <c r="P797" t="b">
        <v>0</v>
      </c>
      <c r="R797" t="str">
        <f>"9783737602365"</f>
        <v>9783737602365</v>
      </c>
      <c r="S797" t="str">
        <f>"9783737602372"</f>
        <v>9783737602372</v>
      </c>
      <c r="T797">
        <v>987439213</v>
      </c>
    </row>
    <row r="798" spans="1:20" x14ac:dyDescent="0.3">
      <c r="A798">
        <v>1519479</v>
      </c>
      <c r="B798" t="s">
        <v>3603</v>
      </c>
      <c r="D798" t="s">
        <v>2432</v>
      </c>
      <c r="E798" t="s">
        <v>2433</v>
      </c>
      <c r="F798">
        <v>2017</v>
      </c>
      <c r="G798" t="s">
        <v>3604</v>
      </c>
      <c r="H798" t="s">
        <v>3605</v>
      </c>
      <c r="I798" t="s">
        <v>3606</v>
      </c>
      <c r="J798" t="s">
        <v>2437</v>
      </c>
      <c r="K798" t="s">
        <v>25</v>
      </c>
      <c r="L798" t="b">
        <v>1</v>
      </c>
      <c r="M798" t="s">
        <v>3607</v>
      </c>
      <c r="N798" t="str">
        <f>"668.4227"</f>
        <v>668.4227</v>
      </c>
      <c r="O798" t="s">
        <v>3608</v>
      </c>
      <c r="P798" t="b">
        <v>0</v>
      </c>
      <c r="R798" t="str">
        <f>"9783737602686"</f>
        <v>9783737602686</v>
      </c>
      <c r="S798" t="str">
        <f>"9783737602693"</f>
        <v>9783737602693</v>
      </c>
      <c r="T798">
        <v>987439211</v>
      </c>
    </row>
    <row r="799" spans="1:20" x14ac:dyDescent="0.3">
      <c r="A799">
        <v>1519388</v>
      </c>
      <c r="B799" t="s">
        <v>3609</v>
      </c>
      <c r="C799" t="s">
        <v>3610</v>
      </c>
      <c r="D799" t="s">
        <v>423</v>
      </c>
      <c r="E799" t="s">
        <v>2169</v>
      </c>
      <c r="F799">
        <v>2017</v>
      </c>
      <c r="G799" t="s">
        <v>3611</v>
      </c>
      <c r="H799" t="s">
        <v>3612</v>
      </c>
      <c r="I799" t="s">
        <v>3613</v>
      </c>
      <c r="J799" t="s">
        <v>24</v>
      </c>
      <c r="K799" t="s">
        <v>269</v>
      </c>
      <c r="L799" t="b">
        <v>1</v>
      </c>
      <c r="M799" t="s">
        <v>3614</v>
      </c>
      <c r="N799" t="str">
        <f>"940.56"</f>
        <v>940.56</v>
      </c>
      <c r="P799" t="b">
        <v>0</v>
      </c>
      <c r="Q799" t="b">
        <v>0</v>
      </c>
      <c r="R799" t="str">
        <f>"9780745399959"</f>
        <v>9780745399959</v>
      </c>
      <c r="S799" t="str">
        <f>"9781786800992"</f>
        <v>9781786800992</v>
      </c>
      <c r="T799">
        <v>987569647</v>
      </c>
    </row>
    <row r="800" spans="1:20" x14ac:dyDescent="0.3">
      <c r="A800">
        <v>1519384</v>
      </c>
      <c r="B800" t="s">
        <v>3615</v>
      </c>
      <c r="C800" t="s">
        <v>3616</v>
      </c>
      <c r="D800" t="s">
        <v>423</v>
      </c>
      <c r="E800" t="s">
        <v>2169</v>
      </c>
      <c r="F800">
        <v>2017</v>
      </c>
      <c r="G800" t="s">
        <v>2928</v>
      </c>
      <c r="H800" t="s">
        <v>3617</v>
      </c>
      <c r="I800" t="s">
        <v>3618</v>
      </c>
      <c r="J800" t="s">
        <v>24</v>
      </c>
      <c r="K800" t="s">
        <v>25</v>
      </c>
      <c r="L800" t="b">
        <v>1</v>
      </c>
      <c r="M800" t="s">
        <v>3619</v>
      </c>
      <c r="N800" t="str">
        <f>"304.856"</f>
        <v>304.856</v>
      </c>
      <c r="P800" t="b">
        <v>0</v>
      </c>
      <c r="Q800" t="b">
        <v>0</v>
      </c>
      <c r="R800" t="str">
        <f>"9780745399508"</f>
        <v>9780745399508</v>
      </c>
      <c r="S800" t="str">
        <f>"9781786800473"</f>
        <v>9781786800473</v>
      </c>
      <c r="T800">
        <v>988175523</v>
      </c>
    </row>
    <row r="801" spans="1:20" x14ac:dyDescent="0.3">
      <c r="A801">
        <v>1519277</v>
      </c>
      <c r="B801" t="s">
        <v>3620</v>
      </c>
      <c r="C801" t="s">
        <v>3621</v>
      </c>
      <c r="D801" t="s">
        <v>3318</v>
      </c>
      <c r="E801" t="s">
        <v>3318</v>
      </c>
      <c r="F801">
        <v>2017</v>
      </c>
      <c r="G801" t="s">
        <v>3622</v>
      </c>
      <c r="H801" t="s">
        <v>3623</v>
      </c>
      <c r="I801" t="s">
        <v>3624</v>
      </c>
      <c r="J801" t="s">
        <v>24</v>
      </c>
      <c r="K801" t="s">
        <v>269</v>
      </c>
      <c r="L801" t="b">
        <v>1</v>
      </c>
      <c r="M801" t="s">
        <v>3625</v>
      </c>
      <c r="N801" t="str">
        <f>"128/.3"</f>
        <v>128/.3</v>
      </c>
      <c r="P801" t="b">
        <v>0</v>
      </c>
      <c r="R801" t="str">
        <f>"9780804799881"</f>
        <v>9780804799881</v>
      </c>
      <c r="S801" t="str">
        <f>"9781503601482"</f>
        <v>9781503601482</v>
      </c>
      <c r="T801">
        <v>957705148</v>
      </c>
    </row>
    <row r="802" spans="1:20" x14ac:dyDescent="0.3">
      <c r="A802">
        <v>1519200</v>
      </c>
      <c r="B802" t="s">
        <v>3275</v>
      </c>
      <c r="D802" t="s">
        <v>2597</v>
      </c>
      <c r="E802" t="s">
        <v>2598</v>
      </c>
      <c r="F802">
        <v>2017</v>
      </c>
      <c r="J802" t="s">
        <v>24</v>
      </c>
      <c r="K802" t="s">
        <v>25</v>
      </c>
      <c r="L802" t="b">
        <v>1</v>
      </c>
      <c r="M802" t="s">
        <v>3276</v>
      </c>
      <c r="P802" t="b">
        <v>0</v>
      </c>
      <c r="R802" t="str">
        <f>"9781475599909"</f>
        <v>9781475599909</v>
      </c>
      <c r="S802" t="str">
        <f>"9781484300121"</f>
        <v>9781484300121</v>
      </c>
    </row>
    <row r="803" spans="1:20" x14ac:dyDescent="0.3">
      <c r="A803">
        <v>1519196</v>
      </c>
      <c r="B803" t="s">
        <v>3626</v>
      </c>
      <c r="D803" t="s">
        <v>2597</v>
      </c>
      <c r="E803" t="s">
        <v>2598</v>
      </c>
      <c r="F803">
        <v>2017</v>
      </c>
      <c r="J803" t="s">
        <v>24</v>
      </c>
      <c r="K803" t="s">
        <v>25</v>
      </c>
      <c r="L803" t="b">
        <v>1</v>
      </c>
      <c r="M803" t="s">
        <v>3627</v>
      </c>
      <c r="P803" t="b">
        <v>0</v>
      </c>
      <c r="R803" t="str">
        <f>"9781475596120"</f>
        <v>9781475596120</v>
      </c>
      <c r="S803" t="str">
        <f>"9781475596175"</f>
        <v>9781475596175</v>
      </c>
    </row>
    <row r="804" spans="1:20" x14ac:dyDescent="0.3">
      <c r="A804">
        <v>1519193</v>
      </c>
      <c r="B804" t="s">
        <v>3628</v>
      </c>
      <c r="D804" t="s">
        <v>2597</v>
      </c>
      <c r="E804" t="s">
        <v>2598</v>
      </c>
      <c r="F804">
        <v>2017</v>
      </c>
      <c r="J804" t="s">
        <v>24</v>
      </c>
      <c r="K804" t="s">
        <v>25</v>
      </c>
      <c r="L804" t="b">
        <v>1</v>
      </c>
      <c r="M804" t="s">
        <v>3629</v>
      </c>
      <c r="P804" t="b">
        <v>0</v>
      </c>
      <c r="R804" t="str">
        <f>"9781475598384"</f>
        <v>9781475598384</v>
      </c>
      <c r="S804" t="str">
        <f>"9781475598605"</f>
        <v>9781475598605</v>
      </c>
    </row>
    <row r="805" spans="1:20" x14ac:dyDescent="0.3">
      <c r="A805">
        <v>1519191</v>
      </c>
      <c r="B805" t="s">
        <v>3630</v>
      </c>
      <c r="D805" t="s">
        <v>2597</v>
      </c>
      <c r="E805" t="s">
        <v>2598</v>
      </c>
      <c r="F805">
        <v>2017</v>
      </c>
      <c r="J805" t="s">
        <v>24</v>
      </c>
      <c r="K805" t="s">
        <v>25</v>
      </c>
      <c r="L805" t="b">
        <v>1</v>
      </c>
      <c r="M805" t="s">
        <v>3631</v>
      </c>
      <c r="P805" t="b">
        <v>0</v>
      </c>
      <c r="R805" t="str">
        <f>"9781475592948"</f>
        <v>9781475592948</v>
      </c>
      <c r="S805" t="str">
        <f>"9781475597707"</f>
        <v>9781475597707</v>
      </c>
    </row>
    <row r="806" spans="1:20" x14ac:dyDescent="0.3">
      <c r="A806">
        <v>1519190</v>
      </c>
      <c r="B806" t="s">
        <v>3275</v>
      </c>
      <c r="D806" t="s">
        <v>2597</v>
      </c>
      <c r="E806" t="s">
        <v>2598</v>
      </c>
      <c r="F806">
        <v>2017</v>
      </c>
      <c r="J806" t="s">
        <v>24</v>
      </c>
      <c r="K806" t="s">
        <v>25</v>
      </c>
      <c r="L806" t="b">
        <v>1</v>
      </c>
      <c r="M806" t="s">
        <v>3276</v>
      </c>
      <c r="P806" t="b">
        <v>0</v>
      </c>
      <c r="R806" t="str">
        <f>"9781475598834"</f>
        <v>9781475598834</v>
      </c>
      <c r="S806" t="str">
        <f>"9781475599008"</f>
        <v>9781475599008</v>
      </c>
    </row>
    <row r="807" spans="1:20" x14ac:dyDescent="0.3">
      <c r="A807">
        <v>1519187</v>
      </c>
      <c r="B807" t="s">
        <v>3275</v>
      </c>
      <c r="D807" t="s">
        <v>2597</v>
      </c>
      <c r="E807" t="s">
        <v>2598</v>
      </c>
      <c r="F807">
        <v>2017</v>
      </c>
      <c r="J807" t="s">
        <v>24</v>
      </c>
      <c r="K807" t="s">
        <v>25</v>
      </c>
      <c r="L807" t="b">
        <v>1</v>
      </c>
      <c r="M807" t="s">
        <v>3276</v>
      </c>
      <c r="P807" t="b">
        <v>0</v>
      </c>
      <c r="R807" t="str">
        <f>"9781475599848"</f>
        <v>9781475599848</v>
      </c>
      <c r="S807" t="str">
        <f>"9781484300190"</f>
        <v>9781484300190</v>
      </c>
    </row>
    <row r="808" spans="1:20" x14ac:dyDescent="0.3">
      <c r="A808">
        <v>1519186</v>
      </c>
      <c r="B808" t="s">
        <v>3275</v>
      </c>
      <c r="D808" t="s">
        <v>2597</v>
      </c>
      <c r="E808" t="s">
        <v>2598</v>
      </c>
      <c r="F808">
        <v>2017</v>
      </c>
      <c r="J808" t="s">
        <v>24</v>
      </c>
      <c r="K808" t="s">
        <v>25</v>
      </c>
      <c r="L808" t="b">
        <v>1</v>
      </c>
      <c r="M808" t="s">
        <v>3276</v>
      </c>
      <c r="P808" t="b">
        <v>0</v>
      </c>
      <c r="R808" t="str">
        <f>"9781475599824"</f>
        <v>9781475599824</v>
      </c>
      <c r="S808" t="str">
        <f>"9781484300237"</f>
        <v>9781484300237</v>
      </c>
    </row>
    <row r="809" spans="1:20" x14ac:dyDescent="0.3">
      <c r="A809">
        <v>1519185</v>
      </c>
      <c r="B809" t="s">
        <v>3275</v>
      </c>
      <c r="D809" t="s">
        <v>2597</v>
      </c>
      <c r="E809" t="s">
        <v>2598</v>
      </c>
      <c r="F809">
        <v>2017</v>
      </c>
      <c r="J809" t="s">
        <v>24</v>
      </c>
      <c r="K809" t="s">
        <v>25</v>
      </c>
      <c r="L809" t="b">
        <v>1</v>
      </c>
      <c r="M809" t="s">
        <v>3276</v>
      </c>
      <c r="P809" t="b">
        <v>0</v>
      </c>
      <c r="R809" t="str">
        <f>"9781475599855"</f>
        <v>9781475599855</v>
      </c>
      <c r="S809" t="str">
        <f>"9781484300152"</f>
        <v>9781484300152</v>
      </c>
    </row>
    <row r="810" spans="1:20" x14ac:dyDescent="0.3">
      <c r="A810">
        <v>1519184</v>
      </c>
      <c r="B810" t="s">
        <v>3632</v>
      </c>
      <c r="D810" t="s">
        <v>2597</v>
      </c>
      <c r="E810" t="s">
        <v>2598</v>
      </c>
      <c r="F810">
        <v>2017</v>
      </c>
      <c r="J810" t="s">
        <v>24</v>
      </c>
      <c r="K810" t="s">
        <v>25</v>
      </c>
      <c r="L810" t="b">
        <v>1</v>
      </c>
      <c r="M810" t="s">
        <v>3633</v>
      </c>
      <c r="P810" t="b">
        <v>0</v>
      </c>
      <c r="R810" t="str">
        <f>"9781475595550"</f>
        <v>9781475595550</v>
      </c>
      <c r="S810" t="str">
        <f>"9781475596632"</f>
        <v>9781475596632</v>
      </c>
    </row>
    <row r="811" spans="1:20" x14ac:dyDescent="0.3">
      <c r="A811">
        <v>1519183</v>
      </c>
      <c r="B811" t="s">
        <v>3634</v>
      </c>
      <c r="D811" t="s">
        <v>2597</v>
      </c>
      <c r="E811" t="s">
        <v>2598</v>
      </c>
      <c r="F811">
        <v>2017</v>
      </c>
      <c r="J811" t="s">
        <v>24</v>
      </c>
      <c r="K811" t="s">
        <v>25</v>
      </c>
      <c r="L811" t="b">
        <v>1</v>
      </c>
      <c r="M811" t="s">
        <v>3635</v>
      </c>
      <c r="P811" t="b">
        <v>0</v>
      </c>
      <c r="R811" t="str">
        <f>"9781475599039"</f>
        <v>9781475599039</v>
      </c>
      <c r="S811" t="str">
        <f>"9781475599299"</f>
        <v>9781475599299</v>
      </c>
    </row>
    <row r="812" spans="1:20" x14ac:dyDescent="0.3">
      <c r="A812">
        <v>1519182</v>
      </c>
      <c r="B812" t="s">
        <v>3636</v>
      </c>
      <c r="D812" t="s">
        <v>2597</v>
      </c>
      <c r="E812" t="s">
        <v>2598</v>
      </c>
      <c r="F812">
        <v>2017</v>
      </c>
      <c r="J812" t="s">
        <v>24</v>
      </c>
      <c r="K812" t="s">
        <v>25</v>
      </c>
      <c r="L812" t="b">
        <v>1</v>
      </c>
      <c r="M812" t="s">
        <v>3637</v>
      </c>
      <c r="P812" t="b">
        <v>0</v>
      </c>
      <c r="R812" t="str">
        <f>"9781475595826"</f>
        <v>9781475595826</v>
      </c>
      <c r="S812" t="str">
        <f>"9781475596564"</f>
        <v>9781475596564</v>
      </c>
    </row>
    <row r="813" spans="1:20" x14ac:dyDescent="0.3">
      <c r="A813">
        <v>1519181</v>
      </c>
      <c r="B813" t="s">
        <v>3638</v>
      </c>
      <c r="D813" t="s">
        <v>2597</v>
      </c>
      <c r="E813" t="s">
        <v>2598</v>
      </c>
      <c r="F813">
        <v>2017</v>
      </c>
      <c r="J813" t="s">
        <v>24</v>
      </c>
      <c r="K813" t="s">
        <v>25</v>
      </c>
      <c r="L813" t="b">
        <v>1</v>
      </c>
      <c r="M813" t="s">
        <v>3639</v>
      </c>
      <c r="P813" t="b">
        <v>0</v>
      </c>
      <c r="R813" t="str">
        <f>"9781475595932"</f>
        <v>9781475595932</v>
      </c>
      <c r="S813" t="str">
        <f>"9781475598551"</f>
        <v>9781475598551</v>
      </c>
    </row>
    <row r="814" spans="1:20" x14ac:dyDescent="0.3">
      <c r="A814">
        <v>1519180</v>
      </c>
      <c r="B814" t="s">
        <v>3640</v>
      </c>
      <c r="D814" t="s">
        <v>2597</v>
      </c>
      <c r="E814" t="s">
        <v>2598</v>
      </c>
      <c r="F814">
        <v>2017</v>
      </c>
      <c r="J814" t="s">
        <v>24</v>
      </c>
      <c r="K814" t="s">
        <v>25</v>
      </c>
      <c r="L814" t="b">
        <v>1</v>
      </c>
      <c r="M814" t="s">
        <v>3641</v>
      </c>
      <c r="P814" t="b">
        <v>0</v>
      </c>
      <c r="R814" t="str">
        <f>"9781475598407"</f>
        <v>9781475598407</v>
      </c>
      <c r="S814" t="str">
        <f>"9781475598681"</f>
        <v>9781475598681</v>
      </c>
    </row>
    <row r="815" spans="1:20" x14ac:dyDescent="0.3">
      <c r="A815">
        <v>1519179</v>
      </c>
      <c r="B815" t="s">
        <v>3642</v>
      </c>
      <c r="D815" t="s">
        <v>2597</v>
      </c>
      <c r="E815" t="s">
        <v>2598</v>
      </c>
      <c r="F815">
        <v>2017</v>
      </c>
      <c r="J815" t="s">
        <v>24</v>
      </c>
      <c r="K815" t="s">
        <v>25</v>
      </c>
      <c r="L815" t="b">
        <v>1</v>
      </c>
      <c r="M815" t="s">
        <v>3643</v>
      </c>
      <c r="P815" t="b">
        <v>0</v>
      </c>
      <c r="R815" t="str">
        <f>"9781475595772"</f>
        <v>9781475595772</v>
      </c>
      <c r="S815" t="str">
        <f>"9781475599152"</f>
        <v>9781475599152</v>
      </c>
    </row>
    <row r="816" spans="1:20" x14ac:dyDescent="0.3">
      <c r="A816">
        <v>1519178</v>
      </c>
      <c r="B816" t="s">
        <v>3644</v>
      </c>
      <c r="D816" t="s">
        <v>2597</v>
      </c>
      <c r="E816" t="s">
        <v>2598</v>
      </c>
      <c r="F816">
        <v>2017</v>
      </c>
      <c r="J816" t="s">
        <v>24</v>
      </c>
      <c r="K816" t="s">
        <v>25</v>
      </c>
      <c r="L816" t="b">
        <v>1</v>
      </c>
      <c r="M816" t="s">
        <v>3645</v>
      </c>
      <c r="P816" t="b">
        <v>0</v>
      </c>
      <c r="R816" t="str">
        <f>"9781475595802"</f>
        <v>9781475595802</v>
      </c>
      <c r="S816" t="str">
        <f>"9781475597288"</f>
        <v>9781475597288</v>
      </c>
    </row>
    <row r="817" spans="1:20" x14ac:dyDescent="0.3">
      <c r="A817">
        <v>1519177</v>
      </c>
      <c r="B817" t="s">
        <v>3646</v>
      </c>
      <c r="D817" t="s">
        <v>2597</v>
      </c>
      <c r="E817" t="s">
        <v>2598</v>
      </c>
      <c r="F817">
        <v>2017</v>
      </c>
      <c r="J817" t="s">
        <v>24</v>
      </c>
      <c r="K817" t="s">
        <v>25</v>
      </c>
      <c r="L817" t="b">
        <v>1</v>
      </c>
      <c r="M817" t="s">
        <v>3647</v>
      </c>
      <c r="P817" t="b">
        <v>0</v>
      </c>
      <c r="R817" t="str">
        <f>"9781475595727"</f>
        <v>9781475595727</v>
      </c>
      <c r="S817" t="str">
        <f>"9781475596809"</f>
        <v>9781475596809</v>
      </c>
    </row>
    <row r="818" spans="1:20" x14ac:dyDescent="0.3">
      <c r="A818">
        <v>1519176</v>
      </c>
      <c r="B818" t="s">
        <v>3648</v>
      </c>
      <c r="D818" t="s">
        <v>2597</v>
      </c>
      <c r="E818" t="s">
        <v>2598</v>
      </c>
      <c r="F818">
        <v>2017</v>
      </c>
      <c r="J818" t="s">
        <v>24</v>
      </c>
      <c r="K818" t="s">
        <v>25</v>
      </c>
      <c r="L818" t="b">
        <v>1</v>
      </c>
      <c r="M818" t="s">
        <v>3649</v>
      </c>
      <c r="P818" t="b">
        <v>0</v>
      </c>
      <c r="R818" t="str">
        <f>"9781475595734"</f>
        <v>9781475595734</v>
      </c>
      <c r="S818" t="str">
        <f>"9781475597776"</f>
        <v>9781475597776</v>
      </c>
    </row>
    <row r="819" spans="1:20" x14ac:dyDescent="0.3">
      <c r="A819">
        <v>1519175</v>
      </c>
      <c r="B819" t="s">
        <v>3650</v>
      </c>
      <c r="D819" t="s">
        <v>2597</v>
      </c>
      <c r="E819" t="s">
        <v>2598</v>
      </c>
      <c r="F819">
        <v>2017</v>
      </c>
      <c r="J819" t="s">
        <v>24</v>
      </c>
      <c r="K819" t="s">
        <v>25</v>
      </c>
      <c r="L819" t="b">
        <v>1</v>
      </c>
      <c r="M819" t="s">
        <v>3641</v>
      </c>
      <c r="P819" t="b">
        <v>0</v>
      </c>
      <c r="R819" t="str">
        <f>"9781475599022"</f>
        <v>9781475599022</v>
      </c>
      <c r="S819" t="str">
        <f>"9781475599329"</f>
        <v>9781475599329</v>
      </c>
    </row>
    <row r="820" spans="1:20" x14ac:dyDescent="0.3">
      <c r="A820">
        <v>1519174</v>
      </c>
      <c r="B820" t="s">
        <v>3651</v>
      </c>
      <c r="D820" t="s">
        <v>2597</v>
      </c>
      <c r="E820" t="s">
        <v>2598</v>
      </c>
      <c r="F820">
        <v>2017</v>
      </c>
      <c r="J820" t="s">
        <v>24</v>
      </c>
      <c r="K820" t="s">
        <v>25</v>
      </c>
      <c r="L820" t="b">
        <v>1</v>
      </c>
      <c r="M820" t="s">
        <v>3652</v>
      </c>
      <c r="P820" t="b">
        <v>0</v>
      </c>
      <c r="R820" t="str">
        <f>"9781475595918"</f>
        <v>9781475595918</v>
      </c>
      <c r="S820" t="str">
        <f>"9781475598506"</f>
        <v>9781475598506</v>
      </c>
    </row>
    <row r="821" spans="1:20" x14ac:dyDescent="0.3">
      <c r="A821">
        <v>1519173</v>
      </c>
      <c r="B821" t="s">
        <v>3653</v>
      </c>
      <c r="D821" t="s">
        <v>2597</v>
      </c>
      <c r="E821" t="s">
        <v>2598</v>
      </c>
      <c r="F821">
        <v>2017</v>
      </c>
      <c r="J821" t="s">
        <v>24</v>
      </c>
      <c r="K821" t="s">
        <v>25</v>
      </c>
      <c r="L821" t="b">
        <v>1</v>
      </c>
      <c r="M821" t="s">
        <v>3654</v>
      </c>
      <c r="P821" t="b">
        <v>0</v>
      </c>
      <c r="R821" t="str">
        <f>"9781475599343"</f>
        <v>9781475599343</v>
      </c>
      <c r="S821" t="str">
        <f>"9781475599398"</f>
        <v>9781475599398</v>
      </c>
    </row>
    <row r="822" spans="1:20" x14ac:dyDescent="0.3">
      <c r="A822">
        <v>1519172</v>
      </c>
      <c r="B822" t="s">
        <v>3655</v>
      </c>
      <c r="D822" t="s">
        <v>2597</v>
      </c>
      <c r="E822" t="s">
        <v>2598</v>
      </c>
      <c r="F822">
        <v>2017</v>
      </c>
      <c r="J822" t="s">
        <v>24</v>
      </c>
      <c r="K822" t="s">
        <v>25</v>
      </c>
      <c r="L822" t="b">
        <v>1</v>
      </c>
      <c r="M822" t="s">
        <v>3656</v>
      </c>
      <c r="P822" t="b">
        <v>0</v>
      </c>
      <c r="R822" t="str">
        <f>"9781475599046"</f>
        <v>9781475599046</v>
      </c>
      <c r="S822" t="str">
        <f>"9781475599220"</f>
        <v>9781475599220</v>
      </c>
    </row>
    <row r="823" spans="1:20" x14ac:dyDescent="0.3">
      <c r="A823">
        <v>1519171</v>
      </c>
      <c r="B823" t="s">
        <v>3657</v>
      </c>
      <c r="D823" t="s">
        <v>2597</v>
      </c>
      <c r="E823" t="s">
        <v>2598</v>
      </c>
      <c r="F823">
        <v>2017</v>
      </c>
      <c r="J823" t="s">
        <v>24</v>
      </c>
      <c r="K823" t="s">
        <v>25</v>
      </c>
      <c r="L823" t="b">
        <v>1</v>
      </c>
      <c r="M823" t="s">
        <v>3658</v>
      </c>
      <c r="P823" t="b">
        <v>0</v>
      </c>
      <c r="R823" t="str">
        <f>"9781475599053"</f>
        <v>9781475599053</v>
      </c>
      <c r="S823" t="str">
        <f>"9781475599183"</f>
        <v>9781475599183</v>
      </c>
    </row>
    <row r="824" spans="1:20" x14ac:dyDescent="0.3">
      <c r="A824">
        <v>1519170</v>
      </c>
      <c r="B824" t="s">
        <v>3659</v>
      </c>
      <c r="D824" t="s">
        <v>2597</v>
      </c>
      <c r="E824" t="s">
        <v>2598</v>
      </c>
      <c r="F824">
        <v>2017</v>
      </c>
      <c r="J824" t="s">
        <v>24</v>
      </c>
      <c r="K824" t="s">
        <v>25</v>
      </c>
      <c r="L824" t="b">
        <v>1</v>
      </c>
      <c r="M824" t="s">
        <v>3660</v>
      </c>
      <c r="P824" t="b">
        <v>0</v>
      </c>
      <c r="R824" t="str">
        <f>"9781475597240"</f>
        <v>9781475597240</v>
      </c>
      <c r="S824" t="str">
        <f>"9781475597400"</f>
        <v>9781475597400</v>
      </c>
    </row>
    <row r="825" spans="1:20" x14ac:dyDescent="0.3">
      <c r="A825">
        <v>1518751</v>
      </c>
      <c r="B825" t="s">
        <v>3661</v>
      </c>
      <c r="D825" t="s">
        <v>3662</v>
      </c>
      <c r="E825" t="s">
        <v>3662</v>
      </c>
      <c r="F825">
        <v>2017</v>
      </c>
      <c r="G825" t="s">
        <v>1096</v>
      </c>
      <c r="H825" t="s">
        <v>3663</v>
      </c>
      <c r="I825" t="s">
        <v>3664</v>
      </c>
      <c r="J825" t="s">
        <v>3665</v>
      </c>
      <c r="K825" t="s">
        <v>25</v>
      </c>
      <c r="L825" t="b">
        <v>1</v>
      </c>
      <c r="M825" t="s">
        <v>3666</v>
      </c>
      <c r="N825" t="str">
        <f>"839.3/164"</f>
        <v>839.3/164</v>
      </c>
      <c r="P825" t="b">
        <v>0</v>
      </c>
      <c r="R825" t="str">
        <f>"9781681143088"</f>
        <v>9781681143088</v>
      </c>
      <c r="S825" t="str">
        <f>"9781681143101"</f>
        <v>9781681143101</v>
      </c>
      <c r="T825">
        <v>987687708</v>
      </c>
    </row>
    <row r="826" spans="1:20" x14ac:dyDescent="0.3">
      <c r="A826">
        <v>1518687</v>
      </c>
      <c r="B826" t="s">
        <v>3667</v>
      </c>
      <c r="D826" t="s">
        <v>89</v>
      </c>
      <c r="E826" t="s">
        <v>89</v>
      </c>
      <c r="F826">
        <v>2017</v>
      </c>
      <c r="G826" t="s">
        <v>1620</v>
      </c>
      <c r="H826" t="s">
        <v>3668</v>
      </c>
      <c r="I826" t="s">
        <v>3669</v>
      </c>
      <c r="J826" t="s">
        <v>24</v>
      </c>
      <c r="K826" t="s">
        <v>25</v>
      </c>
      <c r="L826" t="b">
        <v>1</v>
      </c>
      <c r="M826" t="s">
        <v>3670</v>
      </c>
      <c r="N826" t="str">
        <f>"345.74402523"</f>
        <v>345.74402523</v>
      </c>
      <c r="P826" t="b">
        <v>0</v>
      </c>
      <c r="Q826" t="b">
        <v>0</v>
      </c>
      <c r="R826" t="str">
        <f>"9781909976436"</f>
        <v>9781909976436</v>
      </c>
      <c r="S826" t="str">
        <f>"9781910979334"</f>
        <v>9781910979334</v>
      </c>
      <c r="T826">
        <v>992481276</v>
      </c>
    </row>
    <row r="827" spans="1:20" x14ac:dyDescent="0.3">
      <c r="A827">
        <v>1517549</v>
      </c>
      <c r="B827" t="s">
        <v>3671</v>
      </c>
      <c r="C827" t="s">
        <v>3672</v>
      </c>
      <c r="D827" t="s">
        <v>1011</v>
      </c>
      <c r="E827" t="s">
        <v>1011</v>
      </c>
      <c r="F827">
        <v>2017</v>
      </c>
      <c r="G827" t="s">
        <v>1892</v>
      </c>
      <c r="H827" t="s">
        <v>3673</v>
      </c>
      <c r="I827" t="s">
        <v>3674</v>
      </c>
      <c r="J827" t="s">
        <v>24</v>
      </c>
      <c r="K827" t="s">
        <v>25</v>
      </c>
      <c r="L827" t="b">
        <v>1</v>
      </c>
      <c r="M827" t="s">
        <v>3675</v>
      </c>
      <c r="N827" t="str">
        <f>"320.1/50904"</f>
        <v>320.1/50904</v>
      </c>
      <c r="O827" t="s">
        <v>3676</v>
      </c>
      <c r="P827" t="b">
        <v>0</v>
      </c>
      <c r="R827" t="str">
        <f>"9781501708558"</f>
        <v>9781501708558</v>
      </c>
      <c r="S827" t="str">
        <f>"9781501712678"</f>
        <v>9781501712678</v>
      </c>
      <c r="T827">
        <v>961457756</v>
      </c>
    </row>
    <row r="828" spans="1:20" x14ac:dyDescent="0.3">
      <c r="A828">
        <v>1516911</v>
      </c>
      <c r="B828" t="s">
        <v>3677</v>
      </c>
      <c r="C828" t="s">
        <v>3678</v>
      </c>
      <c r="D828" t="s">
        <v>403</v>
      </c>
      <c r="E828" t="s">
        <v>403</v>
      </c>
      <c r="F828">
        <v>2017</v>
      </c>
      <c r="G828" t="s">
        <v>60</v>
      </c>
      <c r="H828" t="s">
        <v>3679</v>
      </c>
      <c r="I828" t="s">
        <v>3680</v>
      </c>
      <c r="J828" t="s">
        <v>24</v>
      </c>
      <c r="K828" t="s">
        <v>25</v>
      </c>
      <c r="L828" t="b">
        <v>1</v>
      </c>
      <c r="M828" t="s">
        <v>3681</v>
      </c>
      <c r="N828" t="str">
        <f>"172/.42"</f>
        <v>172/.42</v>
      </c>
      <c r="P828" t="b">
        <v>0</v>
      </c>
      <c r="Q828" t="b">
        <v>0</v>
      </c>
      <c r="R828" t="str">
        <f>"9789462981065"</f>
        <v>9789462981065</v>
      </c>
      <c r="S828" t="str">
        <f>"9789048530632"</f>
        <v>9789048530632</v>
      </c>
      <c r="T828">
        <v>986222327</v>
      </c>
    </row>
    <row r="829" spans="1:20" x14ac:dyDescent="0.3">
      <c r="A829">
        <v>1516909</v>
      </c>
      <c r="B829" t="s">
        <v>3682</v>
      </c>
      <c r="D829" t="s">
        <v>403</v>
      </c>
      <c r="E829" t="s">
        <v>403</v>
      </c>
      <c r="F829">
        <v>2017</v>
      </c>
      <c r="G829" t="s">
        <v>97</v>
      </c>
      <c r="H829" t="s">
        <v>3683</v>
      </c>
      <c r="I829" t="s">
        <v>3684</v>
      </c>
      <c r="J829" t="s">
        <v>24</v>
      </c>
      <c r="K829" t="s">
        <v>25</v>
      </c>
      <c r="L829" t="b">
        <v>1</v>
      </c>
      <c r="M829" t="s">
        <v>3685</v>
      </c>
      <c r="N829" t="str">
        <f>"070.4"</f>
        <v>070.4</v>
      </c>
      <c r="P829" t="b">
        <v>0</v>
      </c>
      <c r="Q829" t="b">
        <v>0</v>
      </c>
      <c r="R829" t="str">
        <f>"9789462980181"</f>
        <v>9789462980181</v>
      </c>
      <c r="S829" t="str">
        <f>"9789048529360"</f>
        <v>9789048529360</v>
      </c>
      <c r="T829">
        <v>982228494</v>
      </c>
    </row>
    <row r="830" spans="1:20" x14ac:dyDescent="0.3">
      <c r="A830">
        <v>1516908</v>
      </c>
      <c r="B830" t="s">
        <v>3686</v>
      </c>
      <c r="C830" t="s">
        <v>3687</v>
      </c>
      <c r="D830" t="s">
        <v>403</v>
      </c>
      <c r="E830" t="s">
        <v>403</v>
      </c>
      <c r="F830">
        <v>2017</v>
      </c>
      <c r="G830" t="s">
        <v>1209</v>
      </c>
      <c r="H830" t="s">
        <v>3688</v>
      </c>
      <c r="I830" t="s">
        <v>3689</v>
      </c>
      <c r="J830" t="s">
        <v>24</v>
      </c>
      <c r="K830" t="s">
        <v>25</v>
      </c>
      <c r="L830" t="b">
        <v>1</v>
      </c>
      <c r="M830" t="s">
        <v>3690</v>
      </c>
      <c r="N830" t="str">
        <f>"791"</f>
        <v>791</v>
      </c>
      <c r="O830" t="s">
        <v>3691</v>
      </c>
      <c r="P830" t="b">
        <v>0</v>
      </c>
      <c r="Q830" t="b">
        <v>0</v>
      </c>
      <c r="R830" t="str">
        <f>"9789462980167"</f>
        <v>9789462980167</v>
      </c>
      <c r="S830" t="str">
        <f>"9789048529346"</f>
        <v>9789048529346</v>
      </c>
      <c r="T830">
        <v>986222311</v>
      </c>
    </row>
    <row r="831" spans="1:20" x14ac:dyDescent="0.3">
      <c r="A831">
        <v>1516905</v>
      </c>
      <c r="B831" t="s">
        <v>3692</v>
      </c>
      <c r="C831" t="s">
        <v>3693</v>
      </c>
      <c r="D831" t="s">
        <v>403</v>
      </c>
      <c r="E831" t="s">
        <v>403</v>
      </c>
      <c r="F831">
        <v>2017</v>
      </c>
      <c r="G831" t="s">
        <v>97</v>
      </c>
      <c r="H831" t="s">
        <v>3694</v>
      </c>
      <c r="I831" t="s">
        <v>3695</v>
      </c>
      <c r="J831" t="s">
        <v>24</v>
      </c>
      <c r="K831" t="s">
        <v>25</v>
      </c>
      <c r="L831" t="b">
        <v>1</v>
      </c>
      <c r="M831" t="s">
        <v>3696</v>
      </c>
      <c r="N831" t="str">
        <f>"808.0209"</f>
        <v>808.0209</v>
      </c>
      <c r="P831" t="b">
        <v>0</v>
      </c>
      <c r="Q831" t="b">
        <v>0</v>
      </c>
      <c r="R831" t="str">
        <f>"9789089649638"</f>
        <v>9789089649638</v>
      </c>
      <c r="S831" t="str">
        <f>"9789048528677"</f>
        <v>9789048528677</v>
      </c>
      <c r="T831">
        <v>987714432</v>
      </c>
    </row>
    <row r="832" spans="1:20" x14ac:dyDescent="0.3">
      <c r="A832">
        <v>1516649</v>
      </c>
      <c r="B832" t="s">
        <v>3697</v>
      </c>
      <c r="C832" t="s">
        <v>3698</v>
      </c>
      <c r="D832" t="s">
        <v>3699</v>
      </c>
      <c r="E832" t="s">
        <v>3700</v>
      </c>
      <c r="F832">
        <v>2017</v>
      </c>
      <c r="G832" t="s">
        <v>1069</v>
      </c>
      <c r="H832" t="s">
        <v>3701</v>
      </c>
      <c r="I832" t="s">
        <v>3702</v>
      </c>
      <c r="J832" t="s">
        <v>24</v>
      </c>
      <c r="K832" t="s">
        <v>25</v>
      </c>
      <c r="L832" t="b">
        <v>1</v>
      </c>
      <c r="M832" t="s">
        <v>3703</v>
      </c>
      <c r="N832" t="str">
        <f>"221.6"</f>
        <v>221.6</v>
      </c>
      <c r="O832" t="s">
        <v>3704</v>
      </c>
      <c r="P832" t="b">
        <v>0</v>
      </c>
      <c r="Q832" t="b">
        <v>0</v>
      </c>
      <c r="R832" t="str">
        <f>"9781575067629"</f>
        <v>9781575067629</v>
      </c>
      <c r="S832" t="str">
        <f>"9781575067636"</f>
        <v>9781575067636</v>
      </c>
      <c r="T832">
        <v>967791347</v>
      </c>
    </row>
    <row r="833" spans="1:20" x14ac:dyDescent="0.3">
      <c r="A833">
        <v>1516648</v>
      </c>
      <c r="B833" t="s">
        <v>3705</v>
      </c>
      <c r="C833" t="s">
        <v>3706</v>
      </c>
      <c r="D833" t="s">
        <v>3699</v>
      </c>
      <c r="E833" t="s">
        <v>3700</v>
      </c>
      <c r="F833">
        <v>2017</v>
      </c>
      <c r="G833" t="s">
        <v>3384</v>
      </c>
      <c r="H833" t="s">
        <v>3707</v>
      </c>
      <c r="I833" t="s">
        <v>3708</v>
      </c>
      <c r="J833" t="s">
        <v>24</v>
      </c>
      <c r="K833" t="s">
        <v>25</v>
      </c>
      <c r="L833" t="b">
        <v>1</v>
      </c>
      <c r="M833" t="s">
        <v>3709</v>
      </c>
      <c r="N833" t="str">
        <f>"935"</f>
        <v>935</v>
      </c>
      <c r="P833" t="b">
        <v>0</v>
      </c>
      <c r="Q833" t="b">
        <v>0</v>
      </c>
      <c r="R833" t="str">
        <f>"9781575064710"</f>
        <v>9781575064710</v>
      </c>
      <c r="S833" t="str">
        <f>"9781575064741"</f>
        <v>9781575064741</v>
      </c>
      <c r="T833">
        <v>961388541</v>
      </c>
    </row>
    <row r="834" spans="1:20" x14ac:dyDescent="0.3">
      <c r="A834">
        <v>1516646</v>
      </c>
      <c r="B834" t="s">
        <v>3710</v>
      </c>
      <c r="C834" t="s">
        <v>3711</v>
      </c>
      <c r="D834" t="s">
        <v>3699</v>
      </c>
      <c r="E834" t="s">
        <v>3700</v>
      </c>
      <c r="F834">
        <v>2017</v>
      </c>
      <c r="G834" t="s">
        <v>381</v>
      </c>
      <c r="H834" t="s">
        <v>3712</v>
      </c>
      <c r="I834" t="s">
        <v>3713</v>
      </c>
      <c r="J834" t="s">
        <v>24</v>
      </c>
      <c r="K834" t="s">
        <v>25</v>
      </c>
      <c r="L834" t="b">
        <v>1</v>
      </c>
      <c r="M834" t="s">
        <v>3714</v>
      </c>
      <c r="N834" t="str">
        <f>"933/.44"</f>
        <v>933/.44</v>
      </c>
      <c r="P834" t="b">
        <v>0</v>
      </c>
      <c r="Q834" t="b">
        <v>0</v>
      </c>
      <c r="R834" t="str">
        <f>"9781575067667"</f>
        <v>9781575067667</v>
      </c>
      <c r="S834" t="str">
        <f>"9781575067674"</f>
        <v>9781575067674</v>
      </c>
      <c r="T834">
        <v>975999120</v>
      </c>
    </row>
    <row r="835" spans="1:20" x14ac:dyDescent="0.3">
      <c r="A835">
        <v>1516508</v>
      </c>
      <c r="B835" t="s">
        <v>3715</v>
      </c>
      <c r="D835" t="s">
        <v>3716</v>
      </c>
      <c r="E835" t="s">
        <v>3717</v>
      </c>
      <c r="F835">
        <v>2017</v>
      </c>
      <c r="G835" t="s">
        <v>3519</v>
      </c>
      <c r="H835" t="s">
        <v>3718</v>
      </c>
      <c r="I835" t="s">
        <v>3719</v>
      </c>
      <c r="J835" t="s">
        <v>24</v>
      </c>
      <c r="K835" t="s">
        <v>25</v>
      </c>
      <c r="L835" t="b">
        <v>1</v>
      </c>
      <c r="M835" t="s">
        <v>3720</v>
      </c>
      <c r="N835" t="str">
        <f>"636.089"</f>
        <v>636.089</v>
      </c>
      <c r="O835" t="s">
        <v>3721</v>
      </c>
      <c r="P835" t="b">
        <v>0</v>
      </c>
      <c r="Q835" t="b">
        <v>0</v>
      </c>
      <c r="R835" t="str">
        <f>"9781905319404"</f>
        <v>9781905319404</v>
      </c>
      <c r="S835" t="str">
        <f>"9781910443156"</f>
        <v>9781910443156</v>
      </c>
      <c r="T835">
        <v>987439148</v>
      </c>
    </row>
    <row r="836" spans="1:20" x14ac:dyDescent="0.3">
      <c r="A836">
        <v>1516185</v>
      </c>
      <c r="B836" t="s">
        <v>3722</v>
      </c>
      <c r="D836" t="s">
        <v>3723</v>
      </c>
      <c r="E836" t="s">
        <v>3724</v>
      </c>
      <c r="F836">
        <v>2016</v>
      </c>
      <c r="G836" t="s">
        <v>3725</v>
      </c>
      <c r="H836" t="s">
        <v>3726</v>
      </c>
      <c r="I836" t="s">
        <v>3727</v>
      </c>
      <c r="J836" t="s">
        <v>580</v>
      </c>
      <c r="K836" t="s">
        <v>55</v>
      </c>
      <c r="L836" t="b">
        <v>1</v>
      </c>
      <c r="M836" t="s">
        <v>3728</v>
      </c>
      <c r="N836" t="str">
        <f>"330.9861"</f>
        <v>330.9861</v>
      </c>
      <c r="O836" t="s">
        <v>3729</v>
      </c>
      <c r="P836" t="b">
        <v>0</v>
      </c>
      <c r="R836" t="str">
        <f>"9789587712940"</f>
        <v>9789587712940</v>
      </c>
      <c r="S836" t="str">
        <f>"9789587712933"</f>
        <v>9789587712933</v>
      </c>
      <c r="T836">
        <v>1008874260</v>
      </c>
    </row>
    <row r="837" spans="1:20" x14ac:dyDescent="0.3">
      <c r="A837">
        <v>1516103</v>
      </c>
      <c r="B837" t="s">
        <v>3730</v>
      </c>
      <c r="C837" t="s">
        <v>3731</v>
      </c>
      <c r="D837" t="s">
        <v>2432</v>
      </c>
      <c r="E837" t="s">
        <v>2433</v>
      </c>
      <c r="F837">
        <v>2017</v>
      </c>
      <c r="G837" t="s">
        <v>2266</v>
      </c>
      <c r="H837" t="s">
        <v>3732</v>
      </c>
      <c r="I837" t="s">
        <v>3733</v>
      </c>
      <c r="J837" t="s">
        <v>24</v>
      </c>
      <c r="K837" t="s">
        <v>25</v>
      </c>
      <c r="L837" t="b">
        <v>1</v>
      </c>
      <c r="M837" t="s">
        <v>3734</v>
      </c>
      <c r="N837" t="str">
        <f>"004"</f>
        <v>004</v>
      </c>
      <c r="O837" t="s">
        <v>3735</v>
      </c>
      <c r="P837" t="b">
        <v>0</v>
      </c>
      <c r="R837" t="str">
        <f>"9783737603003"</f>
        <v>9783737603003</v>
      </c>
      <c r="S837" t="str">
        <f>"9783737603010"</f>
        <v>9783737603010</v>
      </c>
      <c r="T837">
        <v>986538901</v>
      </c>
    </row>
    <row r="838" spans="1:20" x14ac:dyDescent="0.3">
      <c r="A838">
        <v>1516102</v>
      </c>
      <c r="B838" t="s">
        <v>3736</v>
      </c>
      <c r="C838" t="s">
        <v>3737</v>
      </c>
      <c r="D838" t="s">
        <v>2432</v>
      </c>
      <c r="E838" t="s">
        <v>2433</v>
      </c>
      <c r="F838">
        <v>2017</v>
      </c>
      <c r="G838" t="s">
        <v>1391</v>
      </c>
      <c r="H838" t="s">
        <v>3738</v>
      </c>
      <c r="I838" t="s">
        <v>3739</v>
      </c>
      <c r="J838" t="s">
        <v>2437</v>
      </c>
      <c r="K838" t="s">
        <v>25</v>
      </c>
      <c r="L838" t="b">
        <v>1</v>
      </c>
      <c r="M838" t="s">
        <v>3740</v>
      </c>
      <c r="N838" t="str">
        <f>"338.19"</f>
        <v>338.19</v>
      </c>
      <c r="P838" t="b">
        <v>0</v>
      </c>
      <c r="R838" t="str">
        <f>"9783737602747"</f>
        <v>9783737602747</v>
      </c>
      <c r="S838" t="str">
        <f>"9783737602754"</f>
        <v>9783737602754</v>
      </c>
      <c r="T838">
        <v>986538900</v>
      </c>
    </row>
    <row r="839" spans="1:20" x14ac:dyDescent="0.3">
      <c r="A839">
        <v>1516101</v>
      </c>
      <c r="B839" t="s">
        <v>3741</v>
      </c>
      <c r="D839" t="s">
        <v>2432</v>
      </c>
      <c r="E839" t="s">
        <v>2433</v>
      </c>
      <c r="F839">
        <v>2017</v>
      </c>
      <c r="G839" t="s">
        <v>456</v>
      </c>
      <c r="H839" t="s">
        <v>3742</v>
      </c>
      <c r="I839" t="s">
        <v>3743</v>
      </c>
      <c r="J839" t="s">
        <v>2437</v>
      </c>
      <c r="K839" t="s">
        <v>25</v>
      </c>
      <c r="L839" t="b">
        <v>1</v>
      </c>
      <c r="M839" t="s">
        <v>3744</v>
      </c>
      <c r="N839" t="str">
        <f>"621.381045"</f>
        <v>621.381045</v>
      </c>
      <c r="O839" t="s">
        <v>3745</v>
      </c>
      <c r="P839" t="b">
        <v>0</v>
      </c>
      <c r="R839" t="str">
        <f>"9783737602921"</f>
        <v>9783737602921</v>
      </c>
      <c r="S839" t="str">
        <f>"9783737602938"</f>
        <v>9783737602938</v>
      </c>
      <c r="T839">
        <v>986538907</v>
      </c>
    </row>
    <row r="840" spans="1:20" x14ac:dyDescent="0.3">
      <c r="A840">
        <v>1516099</v>
      </c>
      <c r="B840" t="s">
        <v>3746</v>
      </c>
      <c r="D840" t="s">
        <v>2432</v>
      </c>
      <c r="E840" t="s">
        <v>2433</v>
      </c>
      <c r="F840">
        <v>2017</v>
      </c>
      <c r="G840" t="s">
        <v>922</v>
      </c>
      <c r="H840" t="s">
        <v>3747</v>
      </c>
      <c r="I840" t="s">
        <v>3748</v>
      </c>
      <c r="J840" t="s">
        <v>2437</v>
      </c>
      <c r="K840" t="s">
        <v>25</v>
      </c>
      <c r="L840" t="b">
        <v>1</v>
      </c>
      <c r="M840" t="s">
        <v>3749</v>
      </c>
      <c r="N840" t="str">
        <f>"625.794"</f>
        <v>625.794</v>
      </c>
      <c r="O840" t="s">
        <v>3750</v>
      </c>
      <c r="P840" t="b">
        <v>0</v>
      </c>
      <c r="R840" t="str">
        <f>"9783737603089"</f>
        <v>9783737603089</v>
      </c>
      <c r="S840" t="str">
        <f>"9783737603096"</f>
        <v>9783737603096</v>
      </c>
      <c r="T840">
        <v>986538891</v>
      </c>
    </row>
    <row r="841" spans="1:20" x14ac:dyDescent="0.3">
      <c r="A841">
        <v>1515888</v>
      </c>
      <c r="B841" t="s">
        <v>3751</v>
      </c>
      <c r="D841" t="s">
        <v>3752</v>
      </c>
      <c r="E841" t="s">
        <v>3753</v>
      </c>
      <c r="F841">
        <v>2017</v>
      </c>
      <c r="G841" t="s">
        <v>2821</v>
      </c>
      <c r="H841" t="s">
        <v>3754</v>
      </c>
      <c r="I841" t="s">
        <v>3755</v>
      </c>
      <c r="J841" t="s">
        <v>24</v>
      </c>
      <c r="K841" t="s">
        <v>55</v>
      </c>
      <c r="L841" t="b">
        <v>1</v>
      </c>
      <c r="M841" t="s">
        <v>3756</v>
      </c>
      <c r="N841" t="str">
        <f>"277.3/082"</f>
        <v>277.3/082</v>
      </c>
      <c r="P841" t="b">
        <v>0</v>
      </c>
      <c r="R841" t="str">
        <f>"9780802871527"</f>
        <v>9780802871527</v>
      </c>
      <c r="S841" t="str">
        <f>"9781467446846"</f>
        <v>9781467446846</v>
      </c>
      <c r="T841">
        <v>986243325</v>
      </c>
    </row>
    <row r="842" spans="1:20" x14ac:dyDescent="0.3">
      <c r="A842">
        <v>1515799</v>
      </c>
      <c r="B842" t="s">
        <v>3757</v>
      </c>
      <c r="C842" t="s">
        <v>3758</v>
      </c>
      <c r="D842" t="s">
        <v>2839</v>
      </c>
      <c r="E842" t="s">
        <v>2840</v>
      </c>
      <c r="F842">
        <v>2017</v>
      </c>
      <c r="G842" t="s">
        <v>97</v>
      </c>
      <c r="H842" t="s">
        <v>3759</v>
      </c>
      <c r="I842" t="s">
        <v>3760</v>
      </c>
      <c r="J842" t="s">
        <v>24</v>
      </c>
      <c r="K842" t="s">
        <v>55</v>
      </c>
      <c r="L842" t="b">
        <v>1</v>
      </c>
      <c r="M842" t="s">
        <v>3761</v>
      </c>
      <c r="N842" t="str">
        <f>"303.44"</f>
        <v>303.44</v>
      </c>
      <c r="P842" t="b">
        <v>0</v>
      </c>
      <c r="Q842" t="b">
        <v>0</v>
      </c>
      <c r="R842" t="str">
        <f>"9781532607004"</f>
        <v>9781532607004</v>
      </c>
      <c r="S842" t="str">
        <f>"9781532607011"</f>
        <v>9781532607011</v>
      </c>
      <c r="T842">
        <v>986960141</v>
      </c>
    </row>
    <row r="843" spans="1:20" x14ac:dyDescent="0.3">
      <c r="A843">
        <v>1515402</v>
      </c>
      <c r="B843" t="s">
        <v>3762</v>
      </c>
      <c r="D843" t="s">
        <v>45</v>
      </c>
      <c r="E843" t="s">
        <v>45</v>
      </c>
      <c r="F843">
        <v>2016</v>
      </c>
      <c r="G843" t="s">
        <v>3763</v>
      </c>
      <c r="J843" t="s">
        <v>2437</v>
      </c>
      <c r="K843" t="s">
        <v>269</v>
      </c>
      <c r="L843" t="b">
        <v>1</v>
      </c>
      <c r="M843" t="s">
        <v>3764</v>
      </c>
      <c r="O843" t="s">
        <v>3765</v>
      </c>
      <c r="P843" t="b">
        <v>0</v>
      </c>
      <c r="R843" t="str">
        <f>"9783110441741"</f>
        <v>9783110441741</v>
      </c>
      <c r="S843" t="str">
        <f>"9783110429367"</f>
        <v>9783110429367</v>
      </c>
    </row>
    <row r="844" spans="1:20" x14ac:dyDescent="0.3">
      <c r="A844">
        <v>1515379</v>
      </c>
      <c r="B844" t="s">
        <v>3766</v>
      </c>
      <c r="C844" t="s">
        <v>3767</v>
      </c>
      <c r="D844" t="s">
        <v>45</v>
      </c>
      <c r="E844" t="s">
        <v>45</v>
      </c>
      <c r="F844">
        <v>2017</v>
      </c>
      <c r="G844" t="s">
        <v>145</v>
      </c>
      <c r="H844" t="s">
        <v>3768</v>
      </c>
      <c r="J844" t="s">
        <v>24</v>
      </c>
      <c r="K844" t="s">
        <v>269</v>
      </c>
      <c r="L844" t="b">
        <v>1</v>
      </c>
      <c r="M844" t="s">
        <v>3769</v>
      </c>
      <c r="N844" t="str">
        <f>"420"</f>
        <v>420</v>
      </c>
      <c r="O844" t="s">
        <v>3770</v>
      </c>
      <c r="P844" t="b">
        <v>0</v>
      </c>
      <c r="R844" t="str">
        <f>"9783110518146"</f>
        <v>9783110518146</v>
      </c>
      <c r="S844" t="str">
        <f>"9783110518184"</f>
        <v>9783110518184</v>
      </c>
      <c r="T844">
        <v>960034259</v>
      </c>
    </row>
    <row r="845" spans="1:20" x14ac:dyDescent="0.3">
      <c r="A845">
        <v>1515378</v>
      </c>
      <c r="B845" t="s">
        <v>3771</v>
      </c>
      <c r="C845" t="s">
        <v>3772</v>
      </c>
      <c r="D845" t="s">
        <v>45</v>
      </c>
      <c r="E845" t="s">
        <v>45</v>
      </c>
      <c r="F845">
        <v>2017</v>
      </c>
      <c r="G845" t="s">
        <v>1313</v>
      </c>
      <c r="H845" t="s">
        <v>3773</v>
      </c>
      <c r="I845" t="s">
        <v>3774</v>
      </c>
      <c r="J845" t="s">
        <v>24</v>
      </c>
      <c r="K845" t="s">
        <v>269</v>
      </c>
      <c r="L845" t="b">
        <v>1</v>
      </c>
      <c r="M845" t="s">
        <v>3775</v>
      </c>
      <c r="N845" t="str">
        <f>"290"</f>
        <v>290</v>
      </c>
      <c r="O845" t="s">
        <v>3776</v>
      </c>
      <c r="P845" t="b">
        <v>0</v>
      </c>
      <c r="R845" t="str">
        <f>"9783110515121"</f>
        <v>9783110515121</v>
      </c>
      <c r="S845" t="str">
        <f>"9783110515435"</f>
        <v>9783110515435</v>
      </c>
      <c r="T845">
        <v>987936876</v>
      </c>
    </row>
    <row r="846" spans="1:20" x14ac:dyDescent="0.3">
      <c r="A846">
        <v>1515376</v>
      </c>
      <c r="B846" t="s">
        <v>3777</v>
      </c>
      <c r="C846" t="s">
        <v>3778</v>
      </c>
      <c r="D846" t="s">
        <v>45</v>
      </c>
      <c r="E846" t="s">
        <v>318</v>
      </c>
      <c r="F846">
        <v>2017</v>
      </c>
      <c r="G846" t="s">
        <v>1032</v>
      </c>
      <c r="J846" t="s">
        <v>24</v>
      </c>
      <c r="K846" t="s">
        <v>269</v>
      </c>
      <c r="L846" t="b">
        <v>1</v>
      </c>
      <c r="M846" t="s">
        <v>3779</v>
      </c>
      <c r="P846" t="b">
        <v>0</v>
      </c>
      <c r="R846" t="str">
        <f>"9783110521641"</f>
        <v>9783110521641</v>
      </c>
      <c r="S846" t="str">
        <f>"9783110521764"</f>
        <v>9783110521764</v>
      </c>
    </row>
    <row r="847" spans="1:20" x14ac:dyDescent="0.3">
      <c r="A847">
        <v>1515372</v>
      </c>
      <c r="B847" t="s">
        <v>3780</v>
      </c>
      <c r="C847" t="s">
        <v>3781</v>
      </c>
      <c r="D847" t="s">
        <v>45</v>
      </c>
      <c r="E847" t="s">
        <v>313</v>
      </c>
      <c r="F847">
        <v>2017</v>
      </c>
      <c r="G847" t="s">
        <v>314</v>
      </c>
      <c r="H847" t="s">
        <v>3782</v>
      </c>
      <c r="I847" t="s">
        <v>3783</v>
      </c>
      <c r="J847" t="s">
        <v>24</v>
      </c>
      <c r="K847" t="s">
        <v>269</v>
      </c>
      <c r="L847" t="b">
        <v>1</v>
      </c>
      <c r="M847" t="s">
        <v>3784</v>
      </c>
      <c r="N847" t="str">
        <f>"400"</f>
        <v>400</v>
      </c>
      <c r="O847" t="s">
        <v>3785</v>
      </c>
      <c r="P847" t="b">
        <v>0</v>
      </c>
      <c r="R847" t="str">
        <f>"9783110456844"</f>
        <v>9783110456844</v>
      </c>
      <c r="S847" t="str">
        <f>"9783110457292"</f>
        <v>9783110457292</v>
      </c>
      <c r="T847">
        <v>987936930</v>
      </c>
    </row>
    <row r="848" spans="1:20" x14ac:dyDescent="0.3">
      <c r="A848">
        <v>1515371</v>
      </c>
      <c r="B848" t="s">
        <v>3786</v>
      </c>
      <c r="C848" t="s">
        <v>3787</v>
      </c>
      <c r="D848" t="s">
        <v>45</v>
      </c>
      <c r="E848" t="s">
        <v>45</v>
      </c>
      <c r="F848">
        <v>2017</v>
      </c>
      <c r="G848" t="s">
        <v>136</v>
      </c>
      <c r="J848" t="s">
        <v>24</v>
      </c>
      <c r="K848" t="s">
        <v>269</v>
      </c>
      <c r="L848" t="b">
        <v>1</v>
      </c>
      <c r="M848" t="s">
        <v>3788</v>
      </c>
      <c r="O848" t="s">
        <v>3789</v>
      </c>
      <c r="P848" t="b">
        <v>0</v>
      </c>
      <c r="R848" t="str">
        <f>"9783110482584"</f>
        <v>9783110482584</v>
      </c>
      <c r="S848" t="str">
        <f>"9783110484960"</f>
        <v>9783110484960</v>
      </c>
    </row>
    <row r="849" spans="1:20" x14ac:dyDescent="0.3">
      <c r="A849">
        <v>1515370</v>
      </c>
      <c r="B849" t="s">
        <v>3790</v>
      </c>
      <c r="D849" t="s">
        <v>45</v>
      </c>
      <c r="E849" t="s">
        <v>45</v>
      </c>
      <c r="F849">
        <v>2017</v>
      </c>
      <c r="G849" t="s">
        <v>3791</v>
      </c>
      <c r="J849" t="s">
        <v>24</v>
      </c>
      <c r="K849" t="s">
        <v>269</v>
      </c>
      <c r="L849" t="b">
        <v>1</v>
      </c>
      <c r="M849" t="s">
        <v>3792</v>
      </c>
      <c r="O849" t="s">
        <v>3793</v>
      </c>
      <c r="P849" t="b">
        <v>0</v>
      </c>
      <c r="R849" t="str">
        <f>"9783110459500"</f>
        <v>9783110459500</v>
      </c>
      <c r="S849" t="str">
        <f>"9783110460445"</f>
        <v>9783110460445</v>
      </c>
    </row>
    <row r="850" spans="1:20" x14ac:dyDescent="0.3">
      <c r="A850">
        <v>1515369</v>
      </c>
      <c r="B850" t="s">
        <v>3794</v>
      </c>
      <c r="D850" t="s">
        <v>45</v>
      </c>
      <c r="E850" t="s">
        <v>45</v>
      </c>
      <c r="F850">
        <v>2016</v>
      </c>
      <c r="G850" t="s">
        <v>950</v>
      </c>
      <c r="J850" t="s">
        <v>2437</v>
      </c>
      <c r="K850" t="s">
        <v>269</v>
      </c>
      <c r="L850" t="b">
        <v>1</v>
      </c>
      <c r="M850" t="s">
        <v>3795</v>
      </c>
      <c r="P850" t="b">
        <v>0</v>
      </c>
      <c r="R850" t="str">
        <f>"9783110486797"</f>
        <v>9783110486797</v>
      </c>
      <c r="S850" t="str">
        <f>"9783110489231"</f>
        <v>9783110489231</v>
      </c>
    </row>
    <row r="851" spans="1:20" x14ac:dyDescent="0.3">
      <c r="A851">
        <v>1515368</v>
      </c>
      <c r="B851" t="s">
        <v>3796</v>
      </c>
      <c r="C851" t="s">
        <v>3797</v>
      </c>
      <c r="D851" t="s">
        <v>45</v>
      </c>
      <c r="E851" t="s">
        <v>313</v>
      </c>
      <c r="F851">
        <v>2017</v>
      </c>
      <c r="G851" t="s">
        <v>314</v>
      </c>
      <c r="H851" t="s">
        <v>3798</v>
      </c>
      <c r="I851" t="s">
        <v>3799</v>
      </c>
      <c r="J851" t="s">
        <v>24</v>
      </c>
      <c r="K851" t="s">
        <v>25</v>
      </c>
      <c r="L851" t="b">
        <v>1</v>
      </c>
      <c r="M851" t="s">
        <v>3800</v>
      </c>
      <c r="N851" t="str">
        <f>"418.0071"</f>
        <v>418.0071</v>
      </c>
      <c r="O851" t="s">
        <v>3801</v>
      </c>
      <c r="P851" t="b">
        <v>0</v>
      </c>
      <c r="R851" t="str">
        <f>"9781501512117"</f>
        <v>9781501512117</v>
      </c>
      <c r="S851" t="str">
        <f>"9781501504112"</f>
        <v>9781501504112</v>
      </c>
      <c r="T851">
        <v>987105886</v>
      </c>
    </row>
    <row r="852" spans="1:20" x14ac:dyDescent="0.3">
      <c r="A852">
        <v>1515367</v>
      </c>
      <c r="B852" t="s">
        <v>3802</v>
      </c>
      <c r="C852" t="s">
        <v>3803</v>
      </c>
      <c r="D852" t="s">
        <v>45</v>
      </c>
      <c r="E852" t="s">
        <v>313</v>
      </c>
      <c r="F852">
        <v>2017</v>
      </c>
      <c r="G852" t="s">
        <v>314</v>
      </c>
      <c r="H852" t="s">
        <v>3804</v>
      </c>
      <c r="I852" t="s">
        <v>3805</v>
      </c>
      <c r="J852" t="s">
        <v>24</v>
      </c>
      <c r="K852" t="s">
        <v>269</v>
      </c>
      <c r="L852" t="b">
        <v>1</v>
      </c>
      <c r="M852" t="s">
        <v>3806</v>
      </c>
      <c r="N852" t="str">
        <f>"420"</f>
        <v>420</v>
      </c>
      <c r="O852" t="s">
        <v>3807</v>
      </c>
      <c r="P852" t="b">
        <v>0</v>
      </c>
      <c r="R852" t="str">
        <f>"9781501511608"</f>
        <v>9781501511608</v>
      </c>
      <c r="S852" t="str">
        <f>"9781501503412"</f>
        <v>9781501503412</v>
      </c>
      <c r="T852">
        <v>987945737</v>
      </c>
    </row>
    <row r="853" spans="1:20" x14ac:dyDescent="0.3">
      <c r="A853">
        <v>1515363</v>
      </c>
      <c r="B853" t="s">
        <v>3808</v>
      </c>
      <c r="D853" t="s">
        <v>45</v>
      </c>
      <c r="E853" t="s">
        <v>45</v>
      </c>
      <c r="F853">
        <v>2017</v>
      </c>
      <c r="G853" t="s">
        <v>346</v>
      </c>
      <c r="J853" t="s">
        <v>24</v>
      </c>
      <c r="K853" t="s">
        <v>269</v>
      </c>
      <c r="L853" t="b">
        <v>1</v>
      </c>
      <c r="M853" t="s">
        <v>3809</v>
      </c>
      <c r="P853" t="b">
        <v>0</v>
      </c>
      <c r="R853" t="str">
        <f>"9783899497939"</f>
        <v>9783899497939</v>
      </c>
      <c r="S853" t="str">
        <f>"9783110387025"</f>
        <v>9783110387025</v>
      </c>
    </row>
    <row r="854" spans="1:20" x14ac:dyDescent="0.3">
      <c r="A854">
        <v>1515350</v>
      </c>
      <c r="B854" t="s">
        <v>3810</v>
      </c>
      <c r="C854" t="s">
        <v>3811</v>
      </c>
      <c r="D854" t="s">
        <v>2547</v>
      </c>
      <c r="E854" t="s">
        <v>2548</v>
      </c>
      <c r="F854">
        <v>2017</v>
      </c>
      <c r="G854" t="s">
        <v>3812</v>
      </c>
      <c r="H854" t="s">
        <v>3813</v>
      </c>
      <c r="I854" t="s">
        <v>3814</v>
      </c>
      <c r="J854" t="s">
        <v>596</v>
      </c>
      <c r="K854" t="s">
        <v>269</v>
      </c>
      <c r="L854" t="b">
        <v>1</v>
      </c>
      <c r="M854" t="s">
        <v>3815</v>
      </c>
      <c r="N854" t="str">
        <f>"342.4509"</f>
        <v>342.4509</v>
      </c>
      <c r="O854" t="s">
        <v>3816</v>
      </c>
      <c r="P854" t="b">
        <v>0</v>
      </c>
      <c r="Q854" t="b">
        <v>0</v>
      </c>
      <c r="S854" t="str">
        <f>"9788892165687"</f>
        <v>9788892165687</v>
      </c>
      <c r="T854">
        <v>987662233</v>
      </c>
    </row>
    <row r="855" spans="1:20" x14ac:dyDescent="0.3">
      <c r="A855">
        <v>1515345</v>
      </c>
      <c r="B855" t="s">
        <v>3817</v>
      </c>
      <c r="D855" t="s">
        <v>2547</v>
      </c>
      <c r="E855" t="s">
        <v>2548</v>
      </c>
      <c r="F855">
        <v>2016</v>
      </c>
      <c r="G855" t="s">
        <v>1013</v>
      </c>
      <c r="H855" t="s">
        <v>3818</v>
      </c>
      <c r="I855" t="s">
        <v>3819</v>
      </c>
      <c r="J855" t="s">
        <v>596</v>
      </c>
      <c r="K855" t="s">
        <v>269</v>
      </c>
      <c r="L855" t="b">
        <v>1</v>
      </c>
      <c r="M855" t="s">
        <v>3820</v>
      </c>
      <c r="N855" t="str">
        <f>"331"</f>
        <v>331</v>
      </c>
      <c r="O855" t="s">
        <v>3821</v>
      </c>
      <c r="P855" t="b">
        <v>0</v>
      </c>
      <c r="Q855" t="b">
        <v>0</v>
      </c>
      <c r="S855" t="str">
        <f>"9788892164345"</f>
        <v>9788892164345</v>
      </c>
      <c r="T855">
        <v>987097637</v>
      </c>
    </row>
    <row r="856" spans="1:20" x14ac:dyDescent="0.3">
      <c r="A856">
        <v>1515317</v>
      </c>
      <c r="B856" t="s">
        <v>3822</v>
      </c>
      <c r="D856" t="s">
        <v>1004</v>
      </c>
      <c r="E856" t="s">
        <v>1004</v>
      </c>
      <c r="F856">
        <v>2017</v>
      </c>
      <c r="G856" t="s">
        <v>3592</v>
      </c>
      <c r="H856" t="s">
        <v>3823</v>
      </c>
      <c r="I856" t="s">
        <v>3824</v>
      </c>
      <c r="J856" t="s">
        <v>24</v>
      </c>
      <c r="K856" t="s">
        <v>25</v>
      </c>
      <c r="L856" t="b">
        <v>1</v>
      </c>
      <c r="M856" t="s">
        <v>3825</v>
      </c>
      <c r="N856" t="str">
        <f>"155.4"</f>
        <v>155.4</v>
      </c>
      <c r="P856" t="b">
        <v>0</v>
      </c>
      <c r="Q856" t="b">
        <v>0</v>
      </c>
      <c r="R856" t="str">
        <f>"9788024608921"</f>
        <v>9788024608921</v>
      </c>
      <c r="S856" t="str">
        <f>"9788024635507"</f>
        <v>9788024635507</v>
      </c>
      <c r="T856">
        <v>986409769</v>
      </c>
    </row>
    <row r="857" spans="1:20" x14ac:dyDescent="0.3">
      <c r="A857">
        <v>1515313</v>
      </c>
      <c r="B857" t="s">
        <v>3826</v>
      </c>
      <c r="D857" t="s">
        <v>1004</v>
      </c>
      <c r="E857" t="s">
        <v>1004</v>
      </c>
      <c r="F857">
        <v>2016</v>
      </c>
      <c r="G857" t="s">
        <v>870</v>
      </c>
      <c r="H857" t="s">
        <v>3827</v>
      </c>
      <c r="I857" t="s">
        <v>3828</v>
      </c>
      <c r="J857" t="s">
        <v>854</v>
      </c>
      <c r="K857" t="s">
        <v>25</v>
      </c>
      <c r="L857" t="b">
        <v>1</v>
      </c>
      <c r="M857" t="s">
        <v>3829</v>
      </c>
      <c r="N857" t="str">
        <f>"943.73"</f>
        <v>943.73</v>
      </c>
      <c r="P857" t="b">
        <v>0</v>
      </c>
      <c r="Q857" t="b">
        <v>0</v>
      </c>
      <c r="R857" t="str">
        <f>"9788024634616"</f>
        <v>9788024634616</v>
      </c>
      <c r="S857" t="str">
        <f>"9788024634951"</f>
        <v>9788024634951</v>
      </c>
      <c r="T857">
        <v>986031659</v>
      </c>
    </row>
    <row r="858" spans="1:20" x14ac:dyDescent="0.3">
      <c r="A858">
        <v>1515311</v>
      </c>
      <c r="B858" t="s">
        <v>3830</v>
      </c>
      <c r="C858" t="s">
        <v>3831</v>
      </c>
      <c r="D858" t="s">
        <v>1004</v>
      </c>
      <c r="E858" t="s">
        <v>1004</v>
      </c>
      <c r="F858">
        <v>2016</v>
      </c>
      <c r="G858" t="s">
        <v>3832</v>
      </c>
      <c r="H858" t="s">
        <v>3833</v>
      </c>
      <c r="I858" t="s">
        <v>3834</v>
      </c>
      <c r="J858" t="s">
        <v>854</v>
      </c>
      <c r="K858" t="s">
        <v>25</v>
      </c>
      <c r="L858" t="b">
        <v>1</v>
      </c>
      <c r="M858" t="s">
        <v>3835</v>
      </c>
      <c r="N858" t="str">
        <f>"150"</f>
        <v>150</v>
      </c>
      <c r="P858" t="b">
        <v>0</v>
      </c>
      <c r="Q858" t="b">
        <v>0</v>
      </c>
      <c r="R858" t="str">
        <f>"9788024632681"</f>
        <v>9788024632681</v>
      </c>
      <c r="S858" t="str">
        <f>"9788024632957"</f>
        <v>9788024632957</v>
      </c>
      <c r="T858">
        <v>985675276</v>
      </c>
    </row>
    <row r="859" spans="1:20" x14ac:dyDescent="0.3">
      <c r="A859">
        <v>1515310</v>
      </c>
      <c r="B859" t="s">
        <v>3836</v>
      </c>
      <c r="D859" t="s">
        <v>1004</v>
      </c>
      <c r="E859" t="s">
        <v>1004</v>
      </c>
      <c r="F859">
        <v>2016</v>
      </c>
      <c r="G859" t="s">
        <v>3837</v>
      </c>
      <c r="H859" t="s">
        <v>3838</v>
      </c>
      <c r="I859" t="s">
        <v>3839</v>
      </c>
      <c r="J859" t="s">
        <v>854</v>
      </c>
      <c r="K859" t="s">
        <v>25</v>
      </c>
      <c r="L859" t="b">
        <v>1</v>
      </c>
      <c r="M859" t="s">
        <v>3840</v>
      </c>
      <c r="N859" t="str">
        <f>"796.42/57"</f>
        <v>796.42/57</v>
      </c>
      <c r="P859" t="b">
        <v>0</v>
      </c>
      <c r="Q859" t="b">
        <v>0</v>
      </c>
      <c r="R859" t="str">
        <f>"9788024632308"</f>
        <v>9788024632308</v>
      </c>
      <c r="S859" t="str">
        <f>"9788024632513"</f>
        <v>9788024632513</v>
      </c>
      <c r="T859">
        <v>986032641</v>
      </c>
    </row>
    <row r="860" spans="1:20" x14ac:dyDescent="0.3">
      <c r="A860">
        <v>1514778</v>
      </c>
      <c r="B860" t="s">
        <v>3841</v>
      </c>
      <c r="D860" t="s">
        <v>3842</v>
      </c>
      <c r="E860" t="s">
        <v>3843</v>
      </c>
      <c r="F860">
        <v>2017</v>
      </c>
      <c r="G860" t="s">
        <v>3844</v>
      </c>
      <c r="H860" t="s">
        <v>3845</v>
      </c>
      <c r="I860" t="s">
        <v>3846</v>
      </c>
      <c r="J860" t="s">
        <v>24</v>
      </c>
      <c r="K860" t="s">
        <v>25</v>
      </c>
      <c r="L860" t="b">
        <v>1</v>
      </c>
      <c r="M860" t="s">
        <v>3847</v>
      </c>
      <c r="N860" t="str">
        <f>"220.1/2"</f>
        <v>220.1/2</v>
      </c>
      <c r="O860" t="s">
        <v>3843</v>
      </c>
      <c r="P860" t="b">
        <v>0</v>
      </c>
      <c r="R860" t="str">
        <f>"9781930675957"</f>
        <v>9781930675957</v>
      </c>
      <c r="S860" t="str">
        <f>"9781930675995"</f>
        <v>9781930675995</v>
      </c>
      <c r="T860">
        <v>972200784</v>
      </c>
    </row>
    <row r="861" spans="1:20" x14ac:dyDescent="0.3">
      <c r="A861">
        <v>1514712</v>
      </c>
      <c r="B861" t="s">
        <v>3848</v>
      </c>
      <c r="C861" t="s">
        <v>3849</v>
      </c>
      <c r="D861" t="s">
        <v>3850</v>
      </c>
      <c r="E861" t="s">
        <v>3851</v>
      </c>
      <c r="F861">
        <v>2017</v>
      </c>
      <c r="G861" t="s">
        <v>3852</v>
      </c>
      <c r="H861" t="s">
        <v>3853</v>
      </c>
      <c r="I861" t="s">
        <v>3854</v>
      </c>
      <c r="J861" t="s">
        <v>24</v>
      </c>
      <c r="K861" t="s">
        <v>25</v>
      </c>
      <c r="L861" t="b">
        <v>1</v>
      </c>
      <c r="M861" t="s">
        <v>3855</v>
      </c>
      <c r="N861" t="str">
        <f>"297.2"</f>
        <v>297.2</v>
      </c>
      <c r="P861" t="b">
        <v>1</v>
      </c>
      <c r="R861" t="str">
        <f>"9781438465074"</f>
        <v>9781438465074</v>
      </c>
      <c r="S861" t="str">
        <f>"9781438465098"</f>
        <v>9781438465098</v>
      </c>
      <c r="T861">
        <v>953636046</v>
      </c>
    </row>
    <row r="862" spans="1:20" x14ac:dyDescent="0.3">
      <c r="A862">
        <v>1514708</v>
      </c>
      <c r="B862" t="s">
        <v>3856</v>
      </c>
      <c r="C862" t="s">
        <v>3857</v>
      </c>
      <c r="D862" t="s">
        <v>3850</v>
      </c>
      <c r="E862" t="s">
        <v>3851</v>
      </c>
      <c r="F862">
        <v>2017</v>
      </c>
      <c r="G862" t="s">
        <v>3858</v>
      </c>
      <c r="H862" t="s">
        <v>3859</v>
      </c>
      <c r="I862" t="s">
        <v>3860</v>
      </c>
      <c r="J862" t="s">
        <v>24</v>
      </c>
      <c r="K862" t="s">
        <v>269</v>
      </c>
      <c r="L862" t="b">
        <v>1</v>
      </c>
      <c r="M862" t="s">
        <v>3861</v>
      </c>
      <c r="N862" t="str">
        <f>"951.2/9042"</f>
        <v>951.2/9042</v>
      </c>
      <c r="O862" t="s">
        <v>3862</v>
      </c>
      <c r="P862" t="b">
        <v>0</v>
      </c>
      <c r="R862" t="str">
        <f>"9781438465319"</f>
        <v>9781438465319</v>
      </c>
      <c r="S862" t="str">
        <f>"9781438465326"</f>
        <v>9781438465326</v>
      </c>
      <c r="T862">
        <v>980755850</v>
      </c>
    </row>
    <row r="863" spans="1:20" x14ac:dyDescent="0.3">
      <c r="A863">
        <v>1514707</v>
      </c>
      <c r="B863" t="s">
        <v>3863</v>
      </c>
      <c r="C863" t="s">
        <v>3864</v>
      </c>
      <c r="D863" t="s">
        <v>3850</v>
      </c>
      <c r="E863" t="s">
        <v>3851</v>
      </c>
      <c r="F863">
        <v>2017</v>
      </c>
      <c r="G863" t="s">
        <v>1415</v>
      </c>
      <c r="H863" t="s">
        <v>3865</v>
      </c>
      <c r="I863" t="s">
        <v>3866</v>
      </c>
      <c r="J863" t="s">
        <v>24</v>
      </c>
      <c r="K863" t="s">
        <v>269</v>
      </c>
      <c r="L863" t="b">
        <v>1</v>
      </c>
      <c r="M863" t="s">
        <v>3867</v>
      </c>
      <c r="N863" t="str">
        <f>"305.800951"</f>
        <v>305.800951</v>
      </c>
      <c r="O863" t="s">
        <v>3868</v>
      </c>
      <c r="P863" t="b">
        <v>0</v>
      </c>
      <c r="R863" t="str">
        <f>"9781438464718"</f>
        <v>9781438464718</v>
      </c>
      <c r="S863" t="str">
        <f>"9781438464732"</f>
        <v>9781438464732</v>
      </c>
      <c r="T863">
        <v>967457412</v>
      </c>
    </row>
    <row r="864" spans="1:20" x14ac:dyDescent="0.3">
      <c r="A864">
        <v>1514672</v>
      </c>
      <c r="B864" t="s">
        <v>3869</v>
      </c>
      <c r="C864" t="s">
        <v>3870</v>
      </c>
      <c r="D864" t="s">
        <v>1011</v>
      </c>
      <c r="E864" t="s">
        <v>1011</v>
      </c>
      <c r="F864">
        <v>2017</v>
      </c>
      <c r="G864" t="s">
        <v>1032</v>
      </c>
      <c r="H864" t="s">
        <v>3871</v>
      </c>
      <c r="I864" t="s">
        <v>3872</v>
      </c>
      <c r="J864" t="s">
        <v>24</v>
      </c>
      <c r="K864" t="s">
        <v>25</v>
      </c>
      <c r="L864" t="b">
        <v>1</v>
      </c>
      <c r="M864" t="s">
        <v>3873</v>
      </c>
      <c r="N864" t="str">
        <f>"345/.01"</f>
        <v>345/.01</v>
      </c>
      <c r="P864" t="b">
        <v>0</v>
      </c>
      <c r="R864" t="str">
        <f>"9781501705526"</f>
        <v>9781501705526</v>
      </c>
      <c r="S864" t="str">
        <f>"9781501708428"</f>
        <v>9781501708428</v>
      </c>
      <c r="T864">
        <v>956775753</v>
      </c>
    </row>
    <row r="865" spans="1:20" x14ac:dyDescent="0.3">
      <c r="A865">
        <v>1514500</v>
      </c>
      <c r="B865" t="s">
        <v>3874</v>
      </c>
      <c r="D865" t="s">
        <v>2597</v>
      </c>
      <c r="E865" t="s">
        <v>2598</v>
      </c>
      <c r="F865">
        <v>2017</v>
      </c>
      <c r="J865" t="s">
        <v>24</v>
      </c>
      <c r="K865" t="s">
        <v>25</v>
      </c>
      <c r="L865" t="b">
        <v>1</v>
      </c>
      <c r="M865" t="s">
        <v>3276</v>
      </c>
      <c r="P865" t="b">
        <v>0</v>
      </c>
      <c r="R865" t="str">
        <f>"9781475593907"</f>
        <v>9781475593907</v>
      </c>
      <c r="S865" t="str">
        <f>"9781475594065"</f>
        <v>9781475594065</v>
      </c>
    </row>
    <row r="866" spans="1:20" x14ac:dyDescent="0.3">
      <c r="A866">
        <v>1514499</v>
      </c>
      <c r="B866" t="s">
        <v>3875</v>
      </c>
      <c r="D866" t="s">
        <v>2597</v>
      </c>
      <c r="E866" t="s">
        <v>2598</v>
      </c>
      <c r="F866">
        <v>2017</v>
      </c>
      <c r="J866" t="s">
        <v>2693</v>
      </c>
      <c r="K866" t="s">
        <v>25</v>
      </c>
      <c r="L866" t="b">
        <v>1</v>
      </c>
      <c r="M866" t="s">
        <v>3876</v>
      </c>
      <c r="P866" t="b">
        <v>0</v>
      </c>
      <c r="R866" t="str">
        <f>"9781475583625"</f>
        <v>9781475583625</v>
      </c>
      <c r="S866" t="str">
        <f>"9781475583687"</f>
        <v>9781475583687</v>
      </c>
    </row>
    <row r="867" spans="1:20" x14ac:dyDescent="0.3">
      <c r="A867">
        <v>1514497</v>
      </c>
      <c r="B867" t="s">
        <v>3874</v>
      </c>
      <c r="D867" t="s">
        <v>2597</v>
      </c>
      <c r="E867" t="s">
        <v>2598</v>
      </c>
      <c r="F867">
        <v>2017</v>
      </c>
      <c r="J867" t="s">
        <v>24</v>
      </c>
      <c r="K867" t="s">
        <v>25</v>
      </c>
      <c r="L867" t="b">
        <v>1</v>
      </c>
      <c r="M867" t="s">
        <v>3276</v>
      </c>
      <c r="P867" t="b">
        <v>0</v>
      </c>
      <c r="R867" t="str">
        <f>"9781475593969"</f>
        <v>9781475593969</v>
      </c>
      <c r="S867" t="str">
        <f>"9781475594195"</f>
        <v>9781475594195</v>
      </c>
    </row>
    <row r="868" spans="1:20" x14ac:dyDescent="0.3">
      <c r="A868">
        <v>1514496</v>
      </c>
      <c r="B868" t="s">
        <v>3877</v>
      </c>
      <c r="D868" t="s">
        <v>2597</v>
      </c>
      <c r="E868" t="s">
        <v>2598</v>
      </c>
      <c r="F868">
        <v>2017</v>
      </c>
      <c r="J868" t="s">
        <v>24</v>
      </c>
      <c r="K868" t="s">
        <v>25</v>
      </c>
      <c r="L868" t="b">
        <v>1</v>
      </c>
      <c r="M868" t="s">
        <v>3878</v>
      </c>
      <c r="P868" t="b">
        <v>0</v>
      </c>
      <c r="R868" t="str">
        <f>"9781475564662"</f>
        <v>9781475564662</v>
      </c>
      <c r="S868" t="str">
        <f>"9781475588521"</f>
        <v>9781475588521</v>
      </c>
    </row>
    <row r="869" spans="1:20" x14ac:dyDescent="0.3">
      <c r="A869">
        <v>1514495</v>
      </c>
      <c r="B869" t="s">
        <v>3874</v>
      </c>
      <c r="D869" t="s">
        <v>2597</v>
      </c>
      <c r="E869" t="s">
        <v>2598</v>
      </c>
      <c r="F869">
        <v>2017</v>
      </c>
      <c r="J869" t="s">
        <v>24</v>
      </c>
      <c r="K869" t="s">
        <v>25</v>
      </c>
      <c r="L869" t="b">
        <v>1</v>
      </c>
      <c r="M869" t="s">
        <v>3276</v>
      </c>
      <c r="P869" t="b">
        <v>0</v>
      </c>
      <c r="R869" t="str">
        <f>"9781475593914"</f>
        <v>9781475593914</v>
      </c>
      <c r="S869" t="str">
        <f>"9781475594119"</f>
        <v>9781475594119</v>
      </c>
    </row>
    <row r="870" spans="1:20" x14ac:dyDescent="0.3">
      <c r="A870">
        <v>1514494</v>
      </c>
      <c r="B870" t="s">
        <v>3879</v>
      </c>
      <c r="D870" t="s">
        <v>2597</v>
      </c>
      <c r="E870" t="s">
        <v>2598</v>
      </c>
      <c r="F870">
        <v>2017</v>
      </c>
      <c r="J870" t="s">
        <v>24</v>
      </c>
      <c r="K870" t="s">
        <v>25</v>
      </c>
      <c r="L870" t="b">
        <v>1</v>
      </c>
      <c r="M870" t="s">
        <v>3880</v>
      </c>
      <c r="P870" t="b">
        <v>0</v>
      </c>
      <c r="R870" t="str">
        <f>"9781475584875"</f>
        <v>9781475584875</v>
      </c>
      <c r="S870" t="str">
        <f>"9781475593891"</f>
        <v>9781475593891</v>
      </c>
    </row>
    <row r="871" spans="1:20" x14ac:dyDescent="0.3">
      <c r="A871">
        <v>1514492</v>
      </c>
      <c r="B871" t="s">
        <v>3881</v>
      </c>
      <c r="D871" t="s">
        <v>2597</v>
      </c>
      <c r="E871" t="s">
        <v>2598</v>
      </c>
      <c r="F871">
        <v>2017</v>
      </c>
      <c r="J871" t="s">
        <v>24</v>
      </c>
      <c r="K871" t="s">
        <v>25</v>
      </c>
      <c r="L871" t="b">
        <v>1</v>
      </c>
      <c r="M871" t="s">
        <v>3882</v>
      </c>
      <c r="P871" t="b">
        <v>0</v>
      </c>
      <c r="R871" t="str">
        <f>"9781475595130"</f>
        <v>9781475595130</v>
      </c>
      <c r="S871" t="str">
        <f>"9781475596519"</f>
        <v>9781475596519</v>
      </c>
    </row>
    <row r="872" spans="1:20" x14ac:dyDescent="0.3">
      <c r="A872">
        <v>1514488</v>
      </c>
      <c r="B872" t="s">
        <v>3874</v>
      </c>
      <c r="D872" t="s">
        <v>2597</v>
      </c>
      <c r="E872" t="s">
        <v>2598</v>
      </c>
      <c r="F872">
        <v>2017</v>
      </c>
      <c r="J872" t="s">
        <v>24</v>
      </c>
      <c r="K872" t="s">
        <v>25</v>
      </c>
      <c r="L872" t="b">
        <v>1</v>
      </c>
      <c r="M872" t="s">
        <v>3276</v>
      </c>
      <c r="P872" t="b">
        <v>0</v>
      </c>
      <c r="R872" t="str">
        <f>"9781475593921"</f>
        <v>9781475593921</v>
      </c>
      <c r="S872" t="str">
        <f>"9781475594140"</f>
        <v>9781475594140</v>
      </c>
    </row>
    <row r="873" spans="1:20" x14ac:dyDescent="0.3">
      <c r="A873">
        <v>1514486</v>
      </c>
      <c r="B873" t="s">
        <v>3874</v>
      </c>
      <c r="D873" t="s">
        <v>2597</v>
      </c>
      <c r="E873" t="s">
        <v>2598</v>
      </c>
      <c r="F873">
        <v>2017</v>
      </c>
      <c r="J873" t="s">
        <v>24</v>
      </c>
      <c r="K873" t="s">
        <v>25</v>
      </c>
      <c r="L873" t="b">
        <v>1</v>
      </c>
      <c r="M873" t="s">
        <v>3276</v>
      </c>
      <c r="P873" t="b">
        <v>0</v>
      </c>
      <c r="R873" t="str">
        <f>"9781475593990"</f>
        <v>9781475593990</v>
      </c>
      <c r="S873" t="str">
        <f>"9781475594430"</f>
        <v>9781475594430</v>
      </c>
    </row>
    <row r="874" spans="1:20" x14ac:dyDescent="0.3">
      <c r="A874">
        <v>1514485</v>
      </c>
      <c r="B874" t="s">
        <v>3874</v>
      </c>
      <c r="D874" t="s">
        <v>2597</v>
      </c>
      <c r="E874" t="s">
        <v>2598</v>
      </c>
      <c r="F874">
        <v>2017</v>
      </c>
      <c r="J874" t="s">
        <v>24</v>
      </c>
      <c r="K874" t="s">
        <v>25</v>
      </c>
      <c r="L874" t="b">
        <v>1</v>
      </c>
      <c r="M874" t="s">
        <v>3276</v>
      </c>
      <c r="P874" t="b">
        <v>0</v>
      </c>
      <c r="R874" t="str">
        <f>"9781475594010"</f>
        <v>9781475594010</v>
      </c>
      <c r="S874" t="str">
        <f>"9781475594461"</f>
        <v>9781475594461</v>
      </c>
    </row>
    <row r="875" spans="1:20" x14ac:dyDescent="0.3">
      <c r="A875">
        <v>1514484</v>
      </c>
      <c r="B875" t="s">
        <v>3883</v>
      </c>
      <c r="D875" t="s">
        <v>2597</v>
      </c>
      <c r="E875" t="s">
        <v>2598</v>
      </c>
      <c r="F875">
        <v>2017</v>
      </c>
      <c r="J875" t="s">
        <v>24</v>
      </c>
      <c r="K875" t="s">
        <v>25</v>
      </c>
      <c r="L875" t="b">
        <v>1</v>
      </c>
      <c r="M875" t="s">
        <v>3884</v>
      </c>
      <c r="P875" t="b">
        <v>0</v>
      </c>
      <c r="R875" t="str">
        <f>"9781475594720"</f>
        <v>9781475594720</v>
      </c>
      <c r="S875" t="str">
        <f>"9781475594904"</f>
        <v>9781475594904</v>
      </c>
    </row>
    <row r="876" spans="1:20" x14ac:dyDescent="0.3">
      <c r="A876">
        <v>1514483</v>
      </c>
      <c r="B876" t="s">
        <v>3885</v>
      </c>
      <c r="D876" t="s">
        <v>2597</v>
      </c>
      <c r="E876" t="s">
        <v>2598</v>
      </c>
      <c r="F876">
        <v>2017</v>
      </c>
      <c r="J876" t="s">
        <v>24</v>
      </c>
      <c r="K876" t="s">
        <v>25</v>
      </c>
      <c r="L876" t="b">
        <v>1</v>
      </c>
      <c r="M876" t="s">
        <v>3886</v>
      </c>
      <c r="P876" t="b">
        <v>0</v>
      </c>
      <c r="R876" t="str">
        <f>"9781475593488"</f>
        <v>9781475593488</v>
      </c>
      <c r="S876" t="str">
        <f>"9781475594812"</f>
        <v>9781475594812</v>
      </c>
    </row>
    <row r="877" spans="1:20" x14ac:dyDescent="0.3">
      <c r="A877">
        <v>1514482</v>
      </c>
      <c r="B877" t="s">
        <v>3887</v>
      </c>
      <c r="D877" t="s">
        <v>2597</v>
      </c>
      <c r="E877" t="s">
        <v>2598</v>
      </c>
      <c r="F877">
        <v>2017</v>
      </c>
      <c r="J877" t="s">
        <v>24</v>
      </c>
      <c r="K877" t="s">
        <v>25</v>
      </c>
      <c r="L877" t="b">
        <v>1</v>
      </c>
      <c r="M877" t="s">
        <v>3888</v>
      </c>
      <c r="P877" t="b">
        <v>0</v>
      </c>
      <c r="R877" t="str">
        <f>"9781475592450"</f>
        <v>9781475592450</v>
      </c>
      <c r="S877" t="str">
        <f>"9781475592924"</f>
        <v>9781475592924</v>
      </c>
    </row>
    <row r="878" spans="1:20" x14ac:dyDescent="0.3">
      <c r="A878">
        <v>1514481</v>
      </c>
      <c r="B878" t="s">
        <v>3889</v>
      </c>
      <c r="D878" t="s">
        <v>2597</v>
      </c>
      <c r="E878" t="s">
        <v>2598</v>
      </c>
      <c r="F878">
        <v>2017</v>
      </c>
      <c r="J878" t="s">
        <v>24</v>
      </c>
      <c r="K878" t="s">
        <v>25</v>
      </c>
      <c r="L878" t="b">
        <v>1</v>
      </c>
      <c r="M878" t="s">
        <v>3890</v>
      </c>
      <c r="P878" t="b">
        <v>0</v>
      </c>
      <c r="R878" t="str">
        <f>"9781475595758"</f>
        <v>9781475595758</v>
      </c>
      <c r="S878" t="str">
        <f>"9781475596441"</f>
        <v>9781475596441</v>
      </c>
    </row>
    <row r="879" spans="1:20" x14ac:dyDescent="0.3">
      <c r="A879">
        <v>1514480</v>
      </c>
      <c r="B879" t="s">
        <v>3891</v>
      </c>
      <c r="C879" t="s">
        <v>3892</v>
      </c>
      <c r="D879" t="s">
        <v>2597</v>
      </c>
      <c r="E879" t="s">
        <v>2598</v>
      </c>
      <c r="F879">
        <v>2017</v>
      </c>
      <c r="G879" t="s">
        <v>3893</v>
      </c>
      <c r="H879" t="s">
        <v>3894</v>
      </c>
      <c r="I879" t="s">
        <v>3895</v>
      </c>
      <c r="J879" t="s">
        <v>24</v>
      </c>
      <c r="K879" t="s">
        <v>25</v>
      </c>
      <c r="L879" t="b">
        <v>1</v>
      </c>
      <c r="M879" t="s">
        <v>3896</v>
      </c>
      <c r="N879" t="str">
        <f>"330.9034"</f>
        <v>330.9034</v>
      </c>
      <c r="O879" t="s">
        <v>3897</v>
      </c>
      <c r="P879" t="b">
        <v>0</v>
      </c>
      <c r="R879" t="str">
        <f>"9781475583397"</f>
        <v>9781475583397</v>
      </c>
      <c r="S879" t="str">
        <f>"9781475593310"</f>
        <v>9781475593310</v>
      </c>
      <c r="T879">
        <v>986618754</v>
      </c>
    </row>
    <row r="880" spans="1:20" x14ac:dyDescent="0.3">
      <c r="A880">
        <v>1514479</v>
      </c>
      <c r="B880" t="s">
        <v>3898</v>
      </c>
      <c r="D880" t="s">
        <v>2597</v>
      </c>
      <c r="E880" t="s">
        <v>2598</v>
      </c>
      <c r="F880">
        <v>2017</v>
      </c>
      <c r="J880" t="s">
        <v>24</v>
      </c>
      <c r="K880" t="s">
        <v>25</v>
      </c>
      <c r="L880" t="b">
        <v>1</v>
      </c>
      <c r="M880" t="s">
        <v>3899</v>
      </c>
      <c r="P880" t="b">
        <v>0</v>
      </c>
      <c r="R880" t="str">
        <f>"9781475595147"</f>
        <v>9781475595147</v>
      </c>
      <c r="S880" t="str">
        <f>"9781475595185"</f>
        <v>9781475595185</v>
      </c>
    </row>
    <row r="881" spans="1:20" x14ac:dyDescent="0.3">
      <c r="A881">
        <v>1514478</v>
      </c>
      <c r="B881" t="s">
        <v>3900</v>
      </c>
      <c r="D881" t="s">
        <v>2597</v>
      </c>
      <c r="E881" t="s">
        <v>2598</v>
      </c>
      <c r="F881">
        <v>2017</v>
      </c>
      <c r="G881" t="s">
        <v>1319</v>
      </c>
      <c r="H881" t="s">
        <v>3901</v>
      </c>
      <c r="I881" t="s">
        <v>3902</v>
      </c>
      <c r="J881" t="s">
        <v>24</v>
      </c>
      <c r="K881" t="s">
        <v>25</v>
      </c>
      <c r="L881" t="b">
        <v>1</v>
      </c>
      <c r="M881" t="s">
        <v>3903</v>
      </c>
      <c r="N881" t="str">
        <f>"339.52"</f>
        <v>339.52</v>
      </c>
      <c r="P881" t="b">
        <v>0</v>
      </c>
      <c r="R881" t="str">
        <f>"9781475547900"</f>
        <v>9781475547900</v>
      </c>
      <c r="S881" t="str">
        <f>"9781475589566"</f>
        <v>9781475589566</v>
      </c>
      <c r="T881">
        <v>987637769</v>
      </c>
    </row>
    <row r="882" spans="1:20" x14ac:dyDescent="0.3">
      <c r="A882">
        <v>1514477</v>
      </c>
      <c r="B882" t="s">
        <v>3904</v>
      </c>
      <c r="D882" t="s">
        <v>2597</v>
      </c>
      <c r="E882" t="s">
        <v>2598</v>
      </c>
      <c r="F882">
        <v>2017</v>
      </c>
      <c r="J882" t="s">
        <v>24</v>
      </c>
      <c r="K882" t="s">
        <v>25</v>
      </c>
      <c r="L882" t="b">
        <v>1</v>
      </c>
      <c r="M882" t="s">
        <v>3905</v>
      </c>
      <c r="P882" t="b">
        <v>0</v>
      </c>
      <c r="R882" t="str">
        <f>"9781475593501"</f>
        <v>9781475593501</v>
      </c>
      <c r="S882" t="str">
        <f>"9781475594850"</f>
        <v>9781475594850</v>
      </c>
    </row>
    <row r="883" spans="1:20" x14ac:dyDescent="0.3">
      <c r="A883">
        <v>1514476</v>
      </c>
      <c r="B883" t="s">
        <v>3906</v>
      </c>
      <c r="D883" t="s">
        <v>2597</v>
      </c>
      <c r="E883" t="s">
        <v>2598</v>
      </c>
      <c r="F883">
        <v>2017</v>
      </c>
      <c r="J883" t="s">
        <v>24</v>
      </c>
      <c r="K883" t="s">
        <v>25</v>
      </c>
      <c r="L883" t="b">
        <v>1</v>
      </c>
      <c r="M883" t="s">
        <v>3907</v>
      </c>
      <c r="P883" t="b">
        <v>0</v>
      </c>
      <c r="R883" t="str">
        <f>"9781475594775"</f>
        <v>9781475594775</v>
      </c>
      <c r="S883" t="str">
        <f>"9781475595123"</f>
        <v>9781475595123</v>
      </c>
    </row>
    <row r="884" spans="1:20" x14ac:dyDescent="0.3">
      <c r="A884">
        <v>1514475</v>
      </c>
      <c r="B884" t="s">
        <v>3908</v>
      </c>
      <c r="D884" t="s">
        <v>2597</v>
      </c>
      <c r="E884" t="s">
        <v>2598</v>
      </c>
      <c r="F884">
        <v>2017</v>
      </c>
      <c r="J884" t="s">
        <v>24</v>
      </c>
      <c r="K884" t="s">
        <v>25</v>
      </c>
      <c r="L884" t="b">
        <v>1</v>
      </c>
      <c r="M884" t="s">
        <v>3909</v>
      </c>
      <c r="P884" t="b">
        <v>0</v>
      </c>
      <c r="R884" t="str">
        <f>"9781475593471"</f>
        <v>9781475593471</v>
      </c>
      <c r="S884" t="str">
        <f>"9781475595086"</f>
        <v>9781475595086</v>
      </c>
    </row>
    <row r="885" spans="1:20" x14ac:dyDescent="0.3">
      <c r="A885">
        <v>1514474</v>
      </c>
      <c r="B885" t="s">
        <v>3910</v>
      </c>
      <c r="D885" t="s">
        <v>2597</v>
      </c>
      <c r="E885" t="s">
        <v>2598</v>
      </c>
      <c r="F885">
        <v>2017</v>
      </c>
      <c r="J885" t="s">
        <v>24</v>
      </c>
      <c r="K885" t="s">
        <v>25</v>
      </c>
      <c r="L885" t="b">
        <v>1</v>
      </c>
      <c r="M885" t="s">
        <v>3627</v>
      </c>
      <c r="P885" t="b">
        <v>0</v>
      </c>
      <c r="R885" t="str">
        <f>"9781475583434"</f>
        <v>9781475583434</v>
      </c>
      <c r="S885" t="str">
        <f>"9781475593242"</f>
        <v>9781475593242</v>
      </c>
    </row>
    <row r="886" spans="1:20" x14ac:dyDescent="0.3">
      <c r="A886">
        <v>1514470</v>
      </c>
      <c r="B886" t="s">
        <v>3911</v>
      </c>
      <c r="C886" t="s">
        <v>3912</v>
      </c>
      <c r="D886" t="s">
        <v>3913</v>
      </c>
      <c r="E886" t="s">
        <v>3914</v>
      </c>
      <c r="F886">
        <v>2017</v>
      </c>
      <c r="G886" t="s">
        <v>1514</v>
      </c>
      <c r="H886" t="s">
        <v>3915</v>
      </c>
      <c r="I886" t="s">
        <v>3916</v>
      </c>
      <c r="J886" t="s">
        <v>24</v>
      </c>
      <c r="K886" t="s">
        <v>55</v>
      </c>
      <c r="L886" t="b">
        <v>1</v>
      </c>
      <c r="M886" t="s">
        <v>3917</v>
      </c>
      <c r="N886" t="str">
        <f>"940.4/81415"</f>
        <v>940.4/81415</v>
      </c>
      <c r="P886" t="b">
        <v>0</v>
      </c>
      <c r="R886" t="str">
        <f>"9781781174845"</f>
        <v>9781781174845</v>
      </c>
      <c r="S886" t="str">
        <f>"9781781174852"</f>
        <v>9781781174852</v>
      </c>
      <c r="T886">
        <v>982451228</v>
      </c>
    </row>
    <row r="887" spans="1:20" x14ac:dyDescent="0.3">
      <c r="A887">
        <v>1514357</v>
      </c>
      <c r="B887" t="s">
        <v>3918</v>
      </c>
      <c r="C887" t="s">
        <v>3919</v>
      </c>
      <c r="D887" t="s">
        <v>32</v>
      </c>
      <c r="E887" t="s">
        <v>3920</v>
      </c>
      <c r="F887">
        <v>2017</v>
      </c>
      <c r="G887" t="s">
        <v>3921</v>
      </c>
      <c r="H887" t="s">
        <v>3922</v>
      </c>
      <c r="I887" t="s">
        <v>3923</v>
      </c>
      <c r="J887" t="s">
        <v>24</v>
      </c>
      <c r="K887" t="s">
        <v>269</v>
      </c>
      <c r="L887" t="b">
        <v>1</v>
      </c>
      <c r="M887" t="s">
        <v>3924</v>
      </c>
      <c r="N887" t="str">
        <f>"929.103"</f>
        <v>929.103</v>
      </c>
      <c r="P887" t="b">
        <v>0</v>
      </c>
      <c r="R887" t="str">
        <f>"9781473892521"</f>
        <v>9781473892521</v>
      </c>
      <c r="S887" t="str">
        <f>"9781473892538"</f>
        <v>9781473892538</v>
      </c>
      <c r="T887">
        <v>986794321</v>
      </c>
    </row>
    <row r="888" spans="1:20" x14ac:dyDescent="0.3">
      <c r="A888">
        <v>1513546</v>
      </c>
      <c r="B888" t="s">
        <v>3925</v>
      </c>
      <c r="D888" t="s">
        <v>1004</v>
      </c>
      <c r="E888" t="s">
        <v>1004</v>
      </c>
      <c r="F888">
        <v>2016</v>
      </c>
      <c r="G888" t="s">
        <v>3165</v>
      </c>
      <c r="H888" t="s">
        <v>3926</v>
      </c>
      <c r="I888" t="s">
        <v>3927</v>
      </c>
      <c r="J888" t="s">
        <v>854</v>
      </c>
      <c r="K888" t="s">
        <v>25</v>
      </c>
      <c r="L888" t="b">
        <v>1</v>
      </c>
      <c r="M888" t="s">
        <v>3928</v>
      </c>
      <c r="N888" t="str">
        <f>"370.1"</f>
        <v>370.1</v>
      </c>
      <c r="P888" t="b">
        <v>0</v>
      </c>
      <c r="Q888" t="b">
        <v>0</v>
      </c>
      <c r="R888" t="str">
        <f>"9788024635583"</f>
        <v>9788024635583</v>
      </c>
      <c r="S888" t="str">
        <f>"9788024635750"</f>
        <v>9788024635750</v>
      </c>
      <c r="T888">
        <v>985702551</v>
      </c>
    </row>
    <row r="889" spans="1:20" x14ac:dyDescent="0.3">
      <c r="A889">
        <v>1513544</v>
      </c>
      <c r="B889" t="s">
        <v>3929</v>
      </c>
      <c r="C889" t="s">
        <v>3930</v>
      </c>
      <c r="D889" t="s">
        <v>1004</v>
      </c>
      <c r="E889" t="s">
        <v>1004</v>
      </c>
      <c r="F889">
        <v>2016</v>
      </c>
      <c r="G889" t="s">
        <v>2671</v>
      </c>
      <c r="H889" t="s">
        <v>3931</v>
      </c>
      <c r="I889" t="s">
        <v>3932</v>
      </c>
      <c r="J889" t="s">
        <v>854</v>
      </c>
      <c r="K889" t="s">
        <v>25</v>
      </c>
      <c r="L889" t="b">
        <v>1</v>
      </c>
      <c r="M889" t="s">
        <v>3933</v>
      </c>
      <c r="N889" t="str">
        <f>"617.9/6"</f>
        <v>617.9/6</v>
      </c>
      <c r="O889" t="s">
        <v>3934</v>
      </c>
      <c r="P889" t="b">
        <v>0</v>
      </c>
      <c r="Q889" t="b">
        <v>0</v>
      </c>
      <c r="R889" t="str">
        <f>"9788024634500"</f>
        <v>9788024634500</v>
      </c>
      <c r="S889" t="str">
        <f>"9788024634968"</f>
        <v>9788024634968</v>
      </c>
      <c r="T889">
        <v>985702549</v>
      </c>
    </row>
    <row r="890" spans="1:20" x14ac:dyDescent="0.3">
      <c r="A890">
        <v>1513447</v>
      </c>
      <c r="B890" t="s">
        <v>3935</v>
      </c>
      <c r="C890" t="s">
        <v>3936</v>
      </c>
      <c r="D890" t="s">
        <v>2450</v>
      </c>
      <c r="E890" t="s">
        <v>2451</v>
      </c>
      <c r="F890">
        <v>2017</v>
      </c>
      <c r="G890" t="s">
        <v>287</v>
      </c>
      <c r="H890" t="s">
        <v>3937</v>
      </c>
      <c r="I890" t="s">
        <v>3938</v>
      </c>
      <c r="J890" t="s">
        <v>2437</v>
      </c>
      <c r="K890" t="s">
        <v>25</v>
      </c>
      <c r="L890" t="b">
        <v>1</v>
      </c>
      <c r="M890" t="s">
        <v>3939</v>
      </c>
      <c r="N890" t="str">
        <f>"193"</f>
        <v>193</v>
      </c>
      <c r="P890" t="b">
        <v>0</v>
      </c>
      <c r="R890" t="str">
        <f>"9783959482325"</f>
        <v>9783959482325</v>
      </c>
      <c r="S890" t="str">
        <f>"9783959488112"</f>
        <v>9783959488112</v>
      </c>
      <c r="T890">
        <v>985470784</v>
      </c>
    </row>
    <row r="891" spans="1:20" x14ac:dyDescent="0.3">
      <c r="A891">
        <v>1513445</v>
      </c>
      <c r="B891" t="s">
        <v>3940</v>
      </c>
      <c r="C891" t="s">
        <v>3941</v>
      </c>
      <c r="D891" t="s">
        <v>2450</v>
      </c>
      <c r="E891" t="s">
        <v>2451</v>
      </c>
      <c r="F891">
        <v>2017</v>
      </c>
      <c r="G891" t="s">
        <v>2425</v>
      </c>
      <c r="H891" t="s">
        <v>3942</v>
      </c>
      <c r="I891" t="s">
        <v>3943</v>
      </c>
      <c r="J891" t="s">
        <v>2437</v>
      </c>
      <c r="K891" t="s">
        <v>25</v>
      </c>
      <c r="L891" t="b">
        <v>1</v>
      </c>
      <c r="M891" t="s">
        <v>2606</v>
      </c>
      <c r="N891" t="str">
        <f>"146.3"</f>
        <v>146.3</v>
      </c>
      <c r="P891" t="b">
        <v>0</v>
      </c>
      <c r="R891" t="str">
        <f>"9783959482455"</f>
        <v>9783959482455</v>
      </c>
      <c r="S891" t="str">
        <f>"9783959488136"</f>
        <v>9783959488136</v>
      </c>
      <c r="T891">
        <v>985470776</v>
      </c>
    </row>
    <row r="892" spans="1:20" x14ac:dyDescent="0.3">
      <c r="A892">
        <v>1513118</v>
      </c>
      <c r="B892" t="s">
        <v>3944</v>
      </c>
      <c r="D892" t="s">
        <v>45</v>
      </c>
      <c r="E892" t="s">
        <v>45</v>
      </c>
      <c r="F892">
        <v>2017</v>
      </c>
      <c r="G892" t="s">
        <v>3945</v>
      </c>
      <c r="J892" t="s">
        <v>24</v>
      </c>
      <c r="K892" t="s">
        <v>25</v>
      </c>
      <c r="L892" t="b">
        <v>1</v>
      </c>
      <c r="M892" t="s">
        <v>3946</v>
      </c>
      <c r="P892" t="b">
        <v>0</v>
      </c>
      <c r="S892" t="str">
        <f>"9783110436525"</f>
        <v>9783110436525</v>
      </c>
    </row>
    <row r="893" spans="1:20" x14ac:dyDescent="0.3">
      <c r="A893">
        <v>1513115</v>
      </c>
      <c r="B893">
        <v>2017</v>
      </c>
      <c r="D893" t="s">
        <v>45</v>
      </c>
      <c r="E893" t="s">
        <v>45</v>
      </c>
      <c r="F893">
        <v>2017</v>
      </c>
      <c r="G893" t="s">
        <v>3947</v>
      </c>
      <c r="H893" t="s">
        <v>3948</v>
      </c>
      <c r="I893" t="s">
        <v>3949</v>
      </c>
      <c r="J893" t="s">
        <v>24</v>
      </c>
      <c r="K893" t="s">
        <v>269</v>
      </c>
      <c r="L893" t="b">
        <v>1</v>
      </c>
      <c r="M893" t="s">
        <v>3950</v>
      </c>
      <c r="N893" t="str">
        <f>"032.02"</f>
        <v>032.02</v>
      </c>
      <c r="O893" t="s">
        <v>3951</v>
      </c>
      <c r="P893" t="b">
        <v>0</v>
      </c>
      <c r="R893" t="str">
        <f>"9783110526882"</f>
        <v>9783110526882</v>
      </c>
      <c r="S893" t="str">
        <f>"9783110527032"</f>
        <v>9783110527032</v>
      </c>
      <c r="T893">
        <v>988767629</v>
      </c>
    </row>
    <row r="894" spans="1:20" x14ac:dyDescent="0.3">
      <c r="A894">
        <v>1513113</v>
      </c>
      <c r="B894" t="s">
        <v>3952</v>
      </c>
      <c r="D894" t="s">
        <v>45</v>
      </c>
      <c r="E894" t="s">
        <v>45</v>
      </c>
      <c r="F894">
        <v>2017</v>
      </c>
      <c r="G894" t="s">
        <v>3953</v>
      </c>
      <c r="J894" t="s">
        <v>325</v>
      </c>
      <c r="K894" t="s">
        <v>25</v>
      </c>
      <c r="L894" t="b">
        <v>1</v>
      </c>
      <c r="M894" t="s">
        <v>3954</v>
      </c>
      <c r="O894" t="s">
        <v>3955</v>
      </c>
      <c r="P894" t="b">
        <v>1</v>
      </c>
      <c r="R894" t="str">
        <f>"9783110401318"</f>
        <v>9783110401318</v>
      </c>
      <c r="S894" t="str">
        <f>"9783110401905"</f>
        <v>9783110401905</v>
      </c>
    </row>
    <row r="895" spans="1:20" x14ac:dyDescent="0.3">
      <c r="A895">
        <v>1513105</v>
      </c>
      <c r="B895" t="s">
        <v>3956</v>
      </c>
      <c r="C895" t="s">
        <v>3957</v>
      </c>
      <c r="D895" t="s">
        <v>45</v>
      </c>
      <c r="E895" t="s">
        <v>45</v>
      </c>
      <c r="F895">
        <v>2017</v>
      </c>
      <c r="G895" t="s">
        <v>145</v>
      </c>
      <c r="H895" t="s">
        <v>3958</v>
      </c>
      <c r="I895" t="s">
        <v>3959</v>
      </c>
      <c r="J895" t="s">
        <v>24</v>
      </c>
      <c r="K895" t="s">
        <v>269</v>
      </c>
      <c r="L895" t="b">
        <v>1</v>
      </c>
      <c r="M895" t="s">
        <v>3960</v>
      </c>
      <c r="N895" t="str">
        <f>"809.4"</f>
        <v>809.4</v>
      </c>
      <c r="O895" t="s">
        <v>3961</v>
      </c>
      <c r="P895" t="b">
        <v>0</v>
      </c>
      <c r="R895" t="str">
        <f>"9783110533910"</f>
        <v>9783110533910</v>
      </c>
      <c r="S895" t="str">
        <f>"9783110533965"</f>
        <v>9783110533965</v>
      </c>
      <c r="T895">
        <v>987019336</v>
      </c>
    </row>
    <row r="896" spans="1:20" x14ac:dyDescent="0.3">
      <c r="A896">
        <v>1513096</v>
      </c>
      <c r="B896" t="s">
        <v>3962</v>
      </c>
      <c r="D896" t="s">
        <v>45</v>
      </c>
      <c r="E896" t="s">
        <v>313</v>
      </c>
      <c r="F896">
        <v>2017</v>
      </c>
      <c r="G896" t="s">
        <v>314</v>
      </c>
      <c r="H896" t="s">
        <v>3963</v>
      </c>
      <c r="I896" t="s">
        <v>3964</v>
      </c>
      <c r="J896" t="s">
        <v>24</v>
      </c>
      <c r="K896" t="s">
        <v>269</v>
      </c>
      <c r="L896" t="b">
        <v>1</v>
      </c>
      <c r="M896" t="s">
        <v>3965</v>
      </c>
      <c r="N896" t="str">
        <f>"495.4"</f>
        <v>495.4</v>
      </c>
      <c r="O896" t="s">
        <v>3785</v>
      </c>
      <c r="P896" t="b">
        <v>0</v>
      </c>
      <c r="R896" t="str">
        <f>"9783110460186"</f>
        <v>9783110460186</v>
      </c>
      <c r="S896" t="str">
        <f>"9783110471878"</f>
        <v>9783110471878</v>
      </c>
      <c r="T896">
        <v>986402694</v>
      </c>
    </row>
    <row r="897" spans="1:20" x14ac:dyDescent="0.3">
      <c r="A897">
        <v>1513092</v>
      </c>
      <c r="B897" t="s">
        <v>3966</v>
      </c>
      <c r="C897" t="s">
        <v>3967</v>
      </c>
      <c r="D897" t="s">
        <v>45</v>
      </c>
      <c r="E897" t="s">
        <v>313</v>
      </c>
      <c r="F897">
        <v>2017</v>
      </c>
      <c r="G897" t="s">
        <v>314</v>
      </c>
      <c r="J897" t="s">
        <v>24</v>
      </c>
      <c r="K897" t="s">
        <v>269</v>
      </c>
      <c r="L897" t="b">
        <v>1</v>
      </c>
      <c r="M897" t="s">
        <v>3968</v>
      </c>
      <c r="O897" t="s">
        <v>3969</v>
      </c>
      <c r="P897" t="b">
        <v>0</v>
      </c>
      <c r="R897" t="str">
        <f>"9781614512912"</f>
        <v>9781614512912</v>
      </c>
      <c r="S897" t="str">
        <f>"9781501500824"</f>
        <v>9781501500824</v>
      </c>
    </row>
    <row r="898" spans="1:20" x14ac:dyDescent="0.3">
      <c r="A898">
        <v>1512954</v>
      </c>
      <c r="B898" t="s">
        <v>3970</v>
      </c>
      <c r="C898" t="s">
        <v>3971</v>
      </c>
      <c r="D898" t="s">
        <v>3497</v>
      </c>
      <c r="E898" t="s">
        <v>3498</v>
      </c>
      <c r="F898">
        <v>2017</v>
      </c>
      <c r="G898" t="s">
        <v>3972</v>
      </c>
      <c r="H898" t="s">
        <v>3973</v>
      </c>
      <c r="I898" t="s">
        <v>3974</v>
      </c>
      <c r="J898" t="s">
        <v>24</v>
      </c>
      <c r="K898" t="s">
        <v>25</v>
      </c>
      <c r="L898" t="b">
        <v>1</v>
      </c>
      <c r="M898" t="s">
        <v>3975</v>
      </c>
      <c r="N898" t="str">
        <f>"580.994"</f>
        <v>580.994</v>
      </c>
      <c r="P898" t="b">
        <v>0</v>
      </c>
      <c r="R898" t="str">
        <f>"9781486307814"</f>
        <v>9781486307814</v>
      </c>
      <c r="S898" t="str">
        <f>"9781486307821"</f>
        <v>9781486307821</v>
      </c>
      <c r="T898">
        <v>965955703</v>
      </c>
    </row>
    <row r="899" spans="1:20" x14ac:dyDescent="0.3">
      <c r="A899">
        <v>1512790</v>
      </c>
      <c r="B899" t="s">
        <v>3976</v>
      </c>
      <c r="C899" t="s">
        <v>3977</v>
      </c>
      <c r="D899" t="s">
        <v>3534</v>
      </c>
      <c r="E899" t="s">
        <v>3978</v>
      </c>
      <c r="F899">
        <v>2017</v>
      </c>
      <c r="G899" t="s">
        <v>3979</v>
      </c>
      <c r="J899" t="s">
        <v>24</v>
      </c>
      <c r="K899" t="s">
        <v>55</v>
      </c>
      <c r="L899" t="b">
        <v>1</v>
      </c>
      <c r="M899" t="s">
        <v>3980</v>
      </c>
      <c r="O899" t="s">
        <v>3981</v>
      </c>
      <c r="P899" t="b">
        <v>0</v>
      </c>
      <c r="S899" t="str">
        <f>"9782806269799"</f>
        <v>9782806269799</v>
      </c>
    </row>
    <row r="900" spans="1:20" x14ac:dyDescent="0.3">
      <c r="A900">
        <v>1512789</v>
      </c>
      <c r="B900" t="s">
        <v>3982</v>
      </c>
      <c r="C900" t="s">
        <v>3983</v>
      </c>
      <c r="D900" t="s">
        <v>3534</v>
      </c>
      <c r="E900" t="s">
        <v>3978</v>
      </c>
      <c r="F900">
        <v>2017</v>
      </c>
      <c r="G900" t="s">
        <v>3984</v>
      </c>
      <c r="J900" t="s">
        <v>24</v>
      </c>
      <c r="K900" t="s">
        <v>55</v>
      </c>
      <c r="L900" t="b">
        <v>1</v>
      </c>
      <c r="M900" t="s">
        <v>3980</v>
      </c>
      <c r="O900" t="s">
        <v>3981</v>
      </c>
      <c r="P900" t="b">
        <v>0</v>
      </c>
      <c r="S900" t="str">
        <f>"9782806269904"</f>
        <v>9782806269904</v>
      </c>
    </row>
    <row r="901" spans="1:20" x14ac:dyDescent="0.3">
      <c r="A901">
        <v>1512787</v>
      </c>
      <c r="B901" t="s">
        <v>3985</v>
      </c>
      <c r="C901" t="s">
        <v>3986</v>
      </c>
      <c r="D901" t="s">
        <v>3534</v>
      </c>
      <c r="E901" t="s">
        <v>3978</v>
      </c>
      <c r="F901">
        <v>2017</v>
      </c>
      <c r="G901" t="s">
        <v>3987</v>
      </c>
      <c r="J901" t="s">
        <v>24</v>
      </c>
      <c r="K901" t="s">
        <v>55</v>
      </c>
      <c r="L901" t="b">
        <v>1</v>
      </c>
      <c r="M901" t="s">
        <v>3980</v>
      </c>
      <c r="O901" t="s">
        <v>3981</v>
      </c>
      <c r="P901" t="b">
        <v>0</v>
      </c>
      <c r="S901" t="str">
        <f>"9782806279309"</f>
        <v>9782806279309</v>
      </c>
    </row>
    <row r="902" spans="1:20" x14ac:dyDescent="0.3">
      <c r="A902">
        <v>1512560</v>
      </c>
      <c r="B902" t="s">
        <v>3988</v>
      </c>
      <c r="C902" t="s">
        <v>3989</v>
      </c>
      <c r="D902" t="s">
        <v>3990</v>
      </c>
      <c r="E902" t="s">
        <v>3990</v>
      </c>
      <c r="F902">
        <v>2017</v>
      </c>
      <c r="G902" t="s">
        <v>3991</v>
      </c>
      <c r="J902" t="s">
        <v>24</v>
      </c>
      <c r="K902" t="s">
        <v>269</v>
      </c>
      <c r="L902" t="b">
        <v>1</v>
      </c>
      <c r="M902" t="s">
        <v>3992</v>
      </c>
      <c r="P902" t="b">
        <v>0</v>
      </c>
      <c r="R902" t="str">
        <f>"9789292577919"</f>
        <v>9789292577919</v>
      </c>
      <c r="S902" t="str">
        <f>"9789292577926"</f>
        <v>9789292577926</v>
      </c>
    </row>
    <row r="903" spans="1:20" x14ac:dyDescent="0.3">
      <c r="A903">
        <v>1511859</v>
      </c>
      <c r="B903" t="s">
        <v>3993</v>
      </c>
      <c r="D903" t="s">
        <v>3994</v>
      </c>
      <c r="E903" t="s">
        <v>3995</v>
      </c>
      <c r="F903">
        <v>2017</v>
      </c>
      <c r="G903" t="s">
        <v>456</v>
      </c>
      <c r="H903" t="s">
        <v>3996</v>
      </c>
      <c r="I903" t="s">
        <v>3997</v>
      </c>
      <c r="J903" t="s">
        <v>24</v>
      </c>
      <c r="K903" t="s">
        <v>25</v>
      </c>
      <c r="L903" t="b">
        <v>1</v>
      </c>
      <c r="M903" t="s">
        <v>3998</v>
      </c>
      <c r="N903" t="str">
        <f>"621.3848"</f>
        <v>621.3848</v>
      </c>
      <c r="O903" t="s">
        <v>3999</v>
      </c>
      <c r="P903" t="b">
        <v>0</v>
      </c>
      <c r="Q903" t="b">
        <v>0</v>
      </c>
      <c r="R903" t="str">
        <f>"9781630810368"</f>
        <v>9781630810368</v>
      </c>
      <c r="S903" t="str">
        <f>"9781630814311"</f>
        <v>9781630814311</v>
      </c>
      <c r="T903">
        <v>985338605</v>
      </c>
    </row>
    <row r="904" spans="1:20" x14ac:dyDescent="0.3">
      <c r="A904">
        <v>1511858</v>
      </c>
      <c r="B904" t="s">
        <v>4000</v>
      </c>
      <c r="D904" t="s">
        <v>3994</v>
      </c>
      <c r="E904" t="s">
        <v>3995</v>
      </c>
      <c r="F904">
        <v>2017</v>
      </c>
      <c r="G904" t="s">
        <v>456</v>
      </c>
      <c r="H904" t="s">
        <v>4001</v>
      </c>
      <c r="I904" t="s">
        <v>4002</v>
      </c>
      <c r="J904" t="s">
        <v>24</v>
      </c>
      <c r="K904" t="s">
        <v>25</v>
      </c>
      <c r="L904" t="b">
        <v>1</v>
      </c>
      <c r="M904" t="s">
        <v>4003</v>
      </c>
      <c r="N904" t="str">
        <f>"621.042"</f>
        <v>621.042</v>
      </c>
      <c r="O904" t="s">
        <v>4004</v>
      </c>
      <c r="P904" t="b">
        <v>0</v>
      </c>
      <c r="Q904" t="b">
        <v>0</v>
      </c>
      <c r="R904" t="str">
        <f>"9781608079810"</f>
        <v>9781608079810</v>
      </c>
      <c r="S904" t="str">
        <f>"9781630814106"</f>
        <v>9781630814106</v>
      </c>
      <c r="T904">
        <v>985264894</v>
      </c>
    </row>
    <row r="905" spans="1:20" x14ac:dyDescent="0.3">
      <c r="A905">
        <v>1511857</v>
      </c>
      <c r="B905" t="s">
        <v>4005</v>
      </c>
      <c r="D905" t="s">
        <v>3994</v>
      </c>
      <c r="E905" t="s">
        <v>3995</v>
      </c>
      <c r="F905">
        <v>2017</v>
      </c>
      <c r="G905" t="s">
        <v>456</v>
      </c>
      <c r="H905" t="s">
        <v>4006</v>
      </c>
      <c r="I905" t="s">
        <v>4007</v>
      </c>
      <c r="J905" t="s">
        <v>24</v>
      </c>
      <c r="K905" t="s">
        <v>25</v>
      </c>
      <c r="L905" t="b">
        <v>1</v>
      </c>
      <c r="M905" t="s">
        <v>4008</v>
      </c>
      <c r="N905" t="str">
        <f>"621.3813"</f>
        <v>621.3813</v>
      </c>
      <c r="O905" t="s">
        <v>4009</v>
      </c>
      <c r="P905" t="b">
        <v>0</v>
      </c>
      <c r="Q905" t="b">
        <v>0</v>
      </c>
      <c r="R905" t="str">
        <f>"9781630813277"</f>
        <v>9781630813277</v>
      </c>
      <c r="S905" t="str">
        <f>"9781630814052"</f>
        <v>9781630814052</v>
      </c>
      <c r="T905">
        <v>985333579</v>
      </c>
    </row>
    <row r="906" spans="1:20" x14ac:dyDescent="0.3">
      <c r="A906">
        <v>1511853</v>
      </c>
      <c r="B906" t="s">
        <v>4010</v>
      </c>
      <c r="C906" t="s">
        <v>4011</v>
      </c>
      <c r="D906" t="s">
        <v>3994</v>
      </c>
      <c r="E906" t="s">
        <v>3995</v>
      </c>
      <c r="F906">
        <v>2017</v>
      </c>
      <c r="G906" t="s">
        <v>2266</v>
      </c>
      <c r="H906" t="s">
        <v>4012</v>
      </c>
      <c r="I906" t="s">
        <v>4013</v>
      </c>
      <c r="J906" t="s">
        <v>24</v>
      </c>
      <c r="K906" t="s">
        <v>25</v>
      </c>
      <c r="L906" t="b">
        <v>1</v>
      </c>
      <c r="M906" t="s">
        <v>4014</v>
      </c>
      <c r="N906" t="str">
        <f>"004.678"</f>
        <v>004.678</v>
      </c>
      <c r="O906" t="s">
        <v>4015</v>
      </c>
      <c r="P906" t="b">
        <v>0</v>
      </c>
      <c r="Q906" t="b">
        <v>0</v>
      </c>
      <c r="R906" t="str">
        <f>"9781630811112"</f>
        <v>9781630811112</v>
      </c>
      <c r="S906" t="str">
        <f>"9781630814373"</f>
        <v>9781630814373</v>
      </c>
      <c r="T906">
        <v>985241536</v>
      </c>
    </row>
    <row r="907" spans="1:20" x14ac:dyDescent="0.3">
      <c r="A907">
        <v>1511850</v>
      </c>
      <c r="B907" t="s">
        <v>4016</v>
      </c>
      <c r="D907" t="s">
        <v>3994</v>
      </c>
      <c r="E907" t="s">
        <v>3995</v>
      </c>
      <c r="F907">
        <v>2017</v>
      </c>
      <c r="G907" t="s">
        <v>2266</v>
      </c>
      <c r="H907" t="s">
        <v>4017</v>
      </c>
      <c r="I907" t="s">
        <v>4018</v>
      </c>
      <c r="J907" t="s">
        <v>24</v>
      </c>
      <c r="K907" t="s">
        <v>25</v>
      </c>
      <c r="L907" t="b">
        <v>1</v>
      </c>
      <c r="M907" t="s">
        <v>4019</v>
      </c>
      <c r="N907" t="str">
        <f>"004.2/2"</f>
        <v>004.2/2</v>
      </c>
      <c r="O907" t="s">
        <v>4020</v>
      </c>
      <c r="P907" t="b">
        <v>0</v>
      </c>
      <c r="Q907" t="b">
        <v>0</v>
      </c>
      <c r="R907" t="str">
        <f>"9781630811464"</f>
        <v>9781630811464</v>
      </c>
      <c r="S907" t="str">
        <f>"9781630814342"</f>
        <v>9781630814342</v>
      </c>
      <c r="T907">
        <v>985313220</v>
      </c>
    </row>
    <row r="908" spans="1:20" x14ac:dyDescent="0.3">
      <c r="A908">
        <v>1511093</v>
      </c>
      <c r="B908" t="s">
        <v>4021</v>
      </c>
      <c r="D908" t="s">
        <v>4022</v>
      </c>
      <c r="E908" t="s">
        <v>4023</v>
      </c>
      <c r="F908">
        <v>2017</v>
      </c>
      <c r="G908" t="s">
        <v>174</v>
      </c>
      <c r="H908" t="s">
        <v>4024</v>
      </c>
      <c r="I908" t="s">
        <v>4025</v>
      </c>
      <c r="J908" t="s">
        <v>24</v>
      </c>
      <c r="K908" t="s">
        <v>269</v>
      </c>
      <c r="L908" t="b">
        <v>1</v>
      </c>
      <c r="M908" t="s">
        <v>4026</v>
      </c>
      <c r="N908" t="str">
        <f>"811.54"</f>
        <v>811.54</v>
      </c>
      <c r="P908" t="b">
        <v>0</v>
      </c>
      <c r="Q908" t="b">
        <v>0</v>
      </c>
      <c r="R908" t="str">
        <f>"9781558851566"</f>
        <v>9781558851566</v>
      </c>
      <c r="S908" t="str">
        <f>"9781518502330"</f>
        <v>9781518502330</v>
      </c>
      <c r="T908">
        <v>984992817</v>
      </c>
    </row>
    <row r="909" spans="1:20" x14ac:dyDescent="0.3">
      <c r="A909">
        <v>1511027</v>
      </c>
      <c r="B909" t="s">
        <v>4027</v>
      </c>
      <c r="D909" t="s">
        <v>2547</v>
      </c>
      <c r="E909" t="s">
        <v>2548</v>
      </c>
      <c r="F909">
        <v>2017</v>
      </c>
      <c r="G909" t="s">
        <v>346</v>
      </c>
      <c r="H909" t="s">
        <v>4028</v>
      </c>
      <c r="I909" t="s">
        <v>4029</v>
      </c>
      <c r="J909" t="s">
        <v>543</v>
      </c>
      <c r="K909" t="s">
        <v>269</v>
      </c>
      <c r="L909" t="b">
        <v>1</v>
      </c>
      <c r="M909" t="s">
        <v>4030</v>
      </c>
      <c r="N909" t="str">
        <f>"341"</f>
        <v>341</v>
      </c>
      <c r="O909" t="s">
        <v>4031</v>
      </c>
      <c r="P909" t="b">
        <v>0</v>
      </c>
      <c r="Q909" t="b">
        <v>0</v>
      </c>
      <c r="S909" t="str">
        <f>"9788892164352"</f>
        <v>9788892164352</v>
      </c>
      <c r="T909">
        <v>984487460</v>
      </c>
    </row>
    <row r="910" spans="1:20" x14ac:dyDescent="0.3">
      <c r="A910">
        <v>1511020</v>
      </c>
      <c r="B910" t="s">
        <v>4032</v>
      </c>
      <c r="D910" t="s">
        <v>2547</v>
      </c>
      <c r="E910" t="s">
        <v>2548</v>
      </c>
      <c r="F910">
        <v>2017</v>
      </c>
      <c r="G910" t="s">
        <v>3812</v>
      </c>
      <c r="H910" t="s">
        <v>4033</v>
      </c>
      <c r="I910" t="s">
        <v>4034</v>
      </c>
      <c r="J910" t="s">
        <v>596</v>
      </c>
      <c r="K910" t="s">
        <v>55</v>
      </c>
      <c r="L910" t="b">
        <v>1</v>
      </c>
      <c r="M910" t="s">
        <v>4035</v>
      </c>
      <c r="N910" t="str">
        <f>"342"</f>
        <v>342</v>
      </c>
      <c r="P910" t="b">
        <v>0</v>
      </c>
      <c r="Q910" t="b">
        <v>0</v>
      </c>
      <c r="S910" t="str">
        <f>"9788892161887"</f>
        <v>9788892161887</v>
      </c>
      <c r="T910">
        <v>982450905</v>
      </c>
    </row>
    <row r="911" spans="1:20" x14ac:dyDescent="0.3">
      <c r="A911">
        <v>1511002</v>
      </c>
      <c r="B911" t="s">
        <v>4036</v>
      </c>
      <c r="C911" t="s">
        <v>4037</v>
      </c>
      <c r="D911" t="s">
        <v>2547</v>
      </c>
      <c r="E911" t="s">
        <v>2548</v>
      </c>
      <c r="F911">
        <v>2016</v>
      </c>
      <c r="G911" t="s">
        <v>1468</v>
      </c>
      <c r="H911" t="s">
        <v>4038</v>
      </c>
      <c r="I911" t="s">
        <v>4039</v>
      </c>
      <c r="J911" t="s">
        <v>596</v>
      </c>
      <c r="K911" t="s">
        <v>269</v>
      </c>
      <c r="L911" t="b">
        <v>1</v>
      </c>
      <c r="M911" t="s">
        <v>4040</v>
      </c>
      <c r="N911" t="str">
        <f>"346.4502/3"</f>
        <v>346.4502/3</v>
      </c>
      <c r="P911" t="b">
        <v>0</v>
      </c>
      <c r="Q911" t="b">
        <v>0</v>
      </c>
      <c r="S911" t="str">
        <f>"9788892164666"</f>
        <v>9788892164666</v>
      </c>
      <c r="T911">
        <v>986206628</v>
      </c>
    </row>
    <row r="912" spans="1:20" x14ac:dyDescent="0.3">
      <c r="A912">
        <v>1510983</v>
      </c>
      <c r="B912" t="s">
        <v>4041</v>
      </c>
      <c r="C912" t="s">
        <v>4042</v>
      </c>
      <c r="D912" t="s">
        <v>2442</v>
      </c>
      <c r="E912" t="s">
        <v>2443</v>
      </c>
      <c r="F912">
        <v>2017</v>
      </c>
      <c r="G912" t="s">
        <v>3082</v>
      </c>
      <c r="H912" t="s">
        <v>4043</v>
      </c>
      <c r="I912" t="s">
        <v>4044</v>
      </c>
      <c r="J912" t="s">
        <v>2437</v>
      </c>
      <c r="K912" t="s">
        <v>25</v>
      </c>
      <c r="L912" t="b">
        <v>1</v>
      </c>
      <c r="M912" t="s">
        <v>4045</v>
      </c>
      <c r="N912" t="str">
        <f>"636.20891"</f>
        <v>636.20891</v>
      </c>
      <c r="P912" t="b">
        <v>0</v>
      </c>
      <c r="R912" t="str">
        <f>"9783899930900"</f>
        <v>9783899930900</v>
      </c>
      <c r="S912" t="str">
        <f>"9783842688629"</f>
        <v>9783842688629</v>
      </c>
      <c r="T912">
        <v>990752338</v>
      </c>
    </row>
    <row r="913" spans="1:20" x14ac:dyDescent="0.3">
      <c r="A913">
        <v>1510982</v>
      </c>
      <c r="B913" t="s">
        <v>4046</v>
      </c>
      <c r="D913" t="s">
        <v>2442</v>
      </c>
      <c r="E913" t="s">
        <v>4047</v>
      </c>
      <c r="F913">
        <v>2017</v>
      </c>
      <c r="G913" t="s">
        <v>2813</v>
      </c>
      <c r="H913" t="s">
        <v>4048</v>
      </c>
      <c r="I913" t="s">
        <v>4049</v>
      </c>
      <c r="J913" t="s">
        <v>2437</v>
      </c>
      <c r="K913" t="s">
        <v>269</v>
      </c>
      <c r="L913" t="b">
        <v>1</v>
      </c>
      <c r="M913" t="s">
        <v>4050</v>
      </c>
      <c r="N913" t="str">
        <f>"616.8/4912"</f>
        <v>616.8/4912</v>
      </c>
      <c r="P913" t="b">
        <v>0</v>
      </c>
      <c r="R913" t="str">
        <f>"9783899938791"</f>
        <v>9783899938791</v>
      </c>
      <c r="S913" t="str">
        <f>"9783842687059"</f>
        <v>9783842687059</v>
      </c>
      <c r="T913">
        <v>1015372105</v>
      </c>
    </row>
    <row r="914" spans="1:20" x14ac:dyDescent="0.3">
      <c r="A914">
        <v>1510178</v>
      </c>
      <c r="B914" t="s">
        <v>4051</v>
      </c>
      <c r="C914" t="s">
        <v>4052</v>
      </c>
      <c r="D914" t="s">
        <v>1011</v>
      </c>
      <c r="E914" t="s">
        <v>1011</v>
      </c>
      <c r="F914">
        <v>2017</v>
      </c>
      <c r="G914" t="s">
        <v>1762</v>
      </c>
      <c r="H914" t="s">
        <v>4053</v>
      </c>
      <c r="I914" t="s">
        <v>4054</v>
      </c>
      <c r="J914" t="s">
        <v>24</v>
      </c>
      <c r="K914" t="s">
        <v>25</v>
      </c>
      <c r="L914" t="b">
        <v>1</v>
      </c>
      <c r="M914" t="s">
        <v>4055</v>
      </c>
      <c r="N914" t="str">
        <f>"261.2/609420902"</f>
        <v>261.2/609420902</v>
      </c>
      <c r="P914" t="b">
        <v>0</v>
      </c>
      <c r="R914" t="str">
        <f>"9781501703072"</f>
        <v>9781501703072</v>
      </c>
      <c r="S914" t="str">
        <f>"9781501708329"</f>
        <v>9781501708329</v>
      </c>
      <c r="T914">
        <v>960969273</v>
      </c>
    </row>
    <row r="915" spans="1:20" x14ac:dyDescent="0.3">
      <c r="A915">
        <v>1510176</v>
      </c>
      <c r="B915" t="s">
        <v>4056</v>
      </c>
      <c r="C915" t="s">
        <v>4057</v>
      </c>
      <c r="D915" t="s">
        <v>1011</v>
      </c>
      <c r="E915" t="s">
        <v>1011</v>
      </c>
      <c r="F915">
        <v>2017</v>
      </c>
      <c r="G915" t="s">
        <v>4058</v>
      </c>
      <c r="H915" t="s">
        <v>4059</v>
      </c>
      <c r="I915" t="s">
        <v>4060</v>
      </c>
      <c r="J915" t="s">
        <v>24</v>
      </c>
      <c r="K915" t="s">
        <v>25</v>
      </c>
      <c r="L915" t="b">
        <v>1</v>
      </c>
      <c r="M915" t="s">
        <v>4061</v>
      </c>
      <c r="N915" t="str">
        <f>"378.1/9829707423"</f>
        <v>378.1/9829707423</v>
      </c>
      <c r="P915" t="b">
        <v>0</v>
      </c>
      <c r="R915" t="str">
        <f>"9781501706912"</f>
        <v>9781501706912</v>
      </c>
      <c r="S915" t="str">
        <f>"9781501708022"</f>
        <v>9781501708022</v>
      </c>
      <c r="T915">
        <v>962025801</v>
      </c>
    </row>
    <row r="916" spans="1:20" x14ac:dyDescent="0.3">
      <c r="A916">
        <v>1508336</v>
      </c>
      <c r="B916" t="s">
        <v>4062</v>
      </c>
      <c r="D916" t="s">
        <v>2648</v>
      </c>
      <c r="E916" t="s">
        <v>2649</v>
      </c>
      <c r="F916">
        <v>2017</v>
      </c>
      <c r="G916" t="s">
        <v>4063</v>
      </c>
      <c r="H916" t="s">
        <v>4064</v>
      </c>
      <c r="I916" t="s">
        <v>4065</v>
      </c>
      <c r="J916" t="s">
        <v>2437</v>
      </c>
      <c r="K916" t="s">
        <v>269</v>
      </c>
      <c r="L916" t="b">
        <v>1</v>
      </c>
      <c r="M916" t="s">
        <v>4066</v>
      </c>
      <c r="N916" t="str">
        <f>"770"</f>
        <v>770</v>
      </c>
      <c r="O916" t="s">
        <v>4067</v>
      </c>
      <c r="P916" t="b">
        <v>0</v>
      </c>
      <c r="R916" t="str">
        <f>"9783958454521"</f>
        <v>9783958454521</v>
      </c>
      <c r="S916" t="str">
        <f>"9783958454538"</f>
        <v>9783958454538</v>
      </c>
      <c r="T916">
        <v>986525854</v>
      </c>
    </row>
    <row r="917" spans="1:20" x14ac:dyDescent="0.3">
      <c r="A917">
        <v>1508335</v>
      </c>
      <c r="B917" t="s">
        <v>4068</v>
      </c>
      <c r="C917" t="s">
        <v>4069</v>
      </c>
      <c r="D917" t="s">
        <v>2648</v>
      </c>
      <c r="E917" t="s">
        <v>2649</v>
      </c>
      <c r="F917">
        <v>2017</v>
      </c>
      <c r="G917" t="s">
        <v>2650</v>
      </c>
      <c r="H917" t="s">
        <v>4070</v>
      </c>
      <c r="I917" t="s">
        <v>4071</v>
      </c>
      <c r="J917" t="s">
        <v>2437</v>
      </c>
      <c r="K917" t="s">
        <v>269</v>
      </c>
      <c r="L917" t="b">
        <v>1</v>
      </c>
      <c r="M917" t="s">
        <v>4072</v>
      </c>
      <c r="N917" t="str">
        <f>"658.802"</f>
        <v>658.802</v>
      </c>
      <c r="O917" t="s">
        <v>2654</v>
      </c>
      <c r="P917" t="b">
        <v>0</v>
      </c>
      <c r="R917" t="str">
        <f>"9783958450448"</f>
        <v>9783958450448</v>
      </c>
      <c r="S917" t="str">
        <f>"9783958450455"</f>
        <v>9783958450455</v>
      </c>
      <c r="T917">
        <v>984342533</v>
      </c>
    </row>
    <row r="918" spans="1:20" x14ac:dyDescent="0.3">
      <c r="A918">
        <v>1508143</v>
      </c>
      <c r="B918" t="s">
        <v>4073</v>
      </c>
      <c r="D918" t="s">
        <v>2567</v>
      </c>
      <c r="E918" t="s">
        <v>2568</v>
      </c>
      <c r="F918">
        <v>2017</v>
      </c>
      <c r="G918" t="s">
        <v>456</v>
      </c>
      <c r="H918" t="s">
        <v>4074</v>
      </c>
      <c r="I918" t="s">
        <v>4075</v>
      </c>
      <c r="J918" t="s">
        <v>2571</v>
      </c>
      <c r="K918" t="s">
        <v>25</v>
      </c>
      <c r="L918" t="b">
        <v>1</v>
      </c>
      <c r="M918" t="s">
        <v>4076</v>
      </c>
      <c r="N918" t="str">
        <f>"621.38152"</f>
        <v>621.38152</v>
      </c>
      <c r="P918" t="b">
        <v>0</v>
      </c>
      <c r="R918" t="str">
        <f>"9784764905238"</f>
        <v>9784764905238</v>
      </c>
      <c r="S918" t="str">
        <f>"9784764971189"</f>
        <v>9784764971189</v>
      </c>
      <c r="T918">
        <v>984149824</v>
      </c>
    </row>
    <row r="919" spans="1:20" x14ac:dyDescent="0.3">
      <c r="A919">
        <v>1508142</v>
      </c>
      <c r="B919" t="s">
        <v>4077</v>
      </c>
      <c r="D919" t="s">
        <v>2567</v>
      </c>
      <c r="E919" t="s">
        <v>2568</v>
      </c>
      <c r="F919">
        <v>2017</v>
      </c>
      <c r="G919" t="s">
        <v>4078</v>
      </c>
      <c r="H919" t="s">
        <v>4079</v>
      </c>
      <c r="I919" t="s">
        <v>4080</v>
      </c>
      <c r="J919" t="s">
        <v>2571</v>
      </c>
      <c r="K919" t="s">
        <v>25</v>
      </c>
      <c r="L919" t="b">
        <v>1</v>
      </c>
      <c r="M919" t="s">
        <v>4081</v>
      </c>
      <c r="N919" t="str">
        <f>"005.1"</f>
        <v>005.1</v>
      </c>
      <c r="P919" t="b">
        <v>0</v>
      </c>
      <c r="R919" t="str">
        <f>"9784764905344"</f>
        <v>9784764905344</v>
      </c>
      <c r="S919" t="str">
        <f>"9784764971165"</f>
        <v>9784764971165</v>
      </c>
      <c r="T919">
        <v>984149825</v>
      </c>
    </row>
    <row r="920" spans="1:20" x14ac:dyDescent="0.3">
      <c r="A920">
        <v>1508141</v>
      </c>
      <c r="B920" t="s">
        <v>4082</v>
      </c>
      <c r="C920" t="s">
        <v>3438</v>
      </c>
      <c r="D920" t="s">
        <v>2567</v>
      </c>
      <c r="E920" t="s">
        <v>2568</v>
      </c>
      <c r="F920">
        <v>2017</v>
      </c>
      <c r="G920" t="s">
        <v>4083</v>
      </c>
      <c r="H920" t="s">
        <v>4084</v>
      </c>
      <c r="I920" t="s">
        <v>4085</v>
      </c>
      <c r="J920" t="s">
        <v>2571</v>
      </c>
      <c r="K920" t="s">
        <v>25</v>
      </c>
      <c r="L920" t="b">
        <v>1</v>
      </c>
      <c r="M920" t="s">
        <v>3442</v>
      </c>
      <c r="N920" t="str">
        <f>"518/.1"</f>
        <v>518/.1</v>
      </c>
      <c r="P920" t="b">
        <v>0</v>
      </c>
      <c r="R920" t="str">
        <f>"9784764905351"</f>
        <v>9784764905351</v>
      </c>
      <c r="S920" t="str">
        <f>"9784764971172"</f>
        <v>9784764971172</v>
      </c>
      <c r="T920">
        <v>984149300</v>
      </c>
    </row>
    <row r="921" spans="1:20" x14ac:dyDescent="0.3">
      <c r="A921">
        <v>1507707</v>
      </c>
      <c r="B921" t="s">
        <v>4086</v>
      </c>
      <c r="C921" t="s">
        <v>4087</v>
      </c>
      <c r="D921" t="s">
        <v>2648</v>
      </c>
      <c r="E921" t="s">
        <v>2649</v>
      </c>
      <c r="F921">
        <v>2017</v>
      </c>
      <c r="G921" t="s">
        <v>2650</v>
      </c>
      <c r="H921" t="s">
        <v>4088</v>
      </c>
      <c r="I921" t="s">
        <v>4089</v>
      </c>
      <c r="J921" t="s">
        <v>2437</v>
      </c>
      <c r="K921" t="s">
        <v>269</v>
      </c>
      <c r="L921" t="b">
        <v>1</v>
      </c>
      <c r="M921" t="s">
        <v>4090</v>
      </c>
      <c r="N921" t="str">
        <f>"658.8/72"</f>
        <v>658.8/72</v>
      </c>
      <c r="O921" t="s">
        <v>2654</v>
      </c>
      <c r="P921" t="b">
        <v>0</v>
      </c>
      <c r="R921" t="str">
        <f>"9783958455191"</f>
        <v>9783958455191</v>
      </c>
      <c r="S921" t="str">
        <f>"9783958455207"</f>
        <v>9783958455207</v>
      </c>
      <c r="T921">
        <v>984127758</v>
      </c>
    </row>
    <row r="922" spans="1:20" x14ac:dyDescent="0.3">
      <c r="A922">
        <v>1506159</v>
      </c>
      <c r="B922" t="s">
        <v>4091</v>
      </c>
      <c r="C922" t="s">
        <v>4092</v>
      </c>
      <c r="D922" t="s">
        <v>423</v>
      </c>
      <c r="E922" t="s">
        <v>2169</v>
      </c>
      <c r="F922">
        <v>2017</v>
      </c>
      <c r="G922" t="s">
        <v>713</v>
      </c>
      <c r="H922" t="s">
        <v>4093</v>
      </c>
      <c r="I922" t="s">
        <v>4094</v>
      </c>
      <c r="J922" t="s">
        <v>24</v>
      </c>
      <c r="K922" t="s">
        <v>269</v>
      </c>
      <c r="L922" t="b">
        <v>1</v>
      </c>
      <c r="M922" t="s">
        <v>4095</v>
      </c>
      <c r="N922" t="str">
        <f>"335.4/12"</f>
        <v>335.4/12</v>
      </c>
      <c r="P922" t="b">
        <v>0</v>
      </c>
      <c r="Q922" t="b">
        <v>0</v>
      </c>
      <c r="R922" t="str">
        <f>"9780745399737"</f>
        <v>9780745399737</v>
      </c>
      <c r="S922" t="str">
        <f>"9781786800848"</f>
        <v>9781786800848</v>
      </c>
      <c r="T922">
        <v>982452118</v>
      </c>
    </row>
    <row r="923" spans="1:20" x14ac:dyDescent="0.3">
      <c r="A923">
        <v>1506158</v>
      </c>
      <c r="B923" t="s">
        <v>4096</v>
      </c>
      <c r="C923" t="s">
        <v>4097</v>
      </c>
      <c r="D923" t="s">
        <v>423</v>
      </c>
      <c r="E923" t="s">
        <v>2169</v>
      </c>
      <c r="F923">
        <v>2017</v>
      </c>
      <c r="G923" t="s">
        <v>889</v>
      </c>
      <c r="H923" t="s">
        <v>4098</v>
      </c>
      <c r="I923" t="s">
        <v>4099</v>
      </c>
      <c r="J923" t="s">
        <v>24</v>
      </c>
      <c r="K923" t="s">
        <v>269</v>
      </c>
      <c r="L923" t="b">
        <v>1</v>
      </c>
      <c r="M923" t="s">
        <v>4100</v>
      </c>
      <c r="N923" t="str">
        <f>"362.87/0944272"</f>
        <v>362.87/0944272</v>
      </c>
      <c r="P923" t="b">
        <v>0</v>
      </c>
      <c r="Q923" t="b">
        <v>0</v>
      </c>
      <c r="R923" t="str">
        <f>"9780745399706"</f>
        <v>9780745399706</v>
      </c>
      <c r="S923" t="str">
        <f>"9781786800817"</f>
        <v>9781786800817</v>
      </c>
      <c r="T923">
        <v>982452724</v>
      </c>
    </row>
    <row r="924" spans="1:20" x14ac:dyDescent="0.3">
      <c r="A924">
        <v>1506131</v>
      </c>
      <c r="B924" t="s">
        <v>4101</v>
      </c>
      <c r="C924" t="s">
        <v>4102</v>
      </c>
      <c r="D924" t="s">
        <v>4103</v>
      </c>
      <c r="E924" t="s">
        <v>4104</v>
      </c>
      <c r="F924">
        <v>2017</v>
      </c>
      <c r="G924" t="s">
        <v>4105</v>
      </c>
      <c r="H924" t="s">
        <v>4106</v>
      </c>
      <c r="I924" t="s">
        <v>4107</v>
      </c>
      <c r="J924" t="s">
        <v>24</v>
      </c>
      <c r="K924" t="s">
        <v>25</v>
      </c>
      <c r="L924" t="b">
        <v>1</v>
      </c>
      <c r="M924" t="s">
        <v>4108</v>
      </c>
      <c r="N924" t="str">
        <f>"971.3/1802092"</f>
        <v>971.3/1802092</v>
      </c>
      <c r="O924" t="s">
        <v>4109</v>
      </c>
      <c r="P924" t="b">
        <v>0</v>
      </c>
      <c r="Q924" t="b">
        <v>0</v>
      </c>
      <c r="R924" t="str">
        <f>"9780889844032"</f>
        <v>9780889844032</v>
      </c>
      <c r="S924" t="str">
        <f>"9780889848450"</f>
        <v>9780889848450</v>
      </c>
      <c r="T924">
        <v>983738895</v>
      </c>
    </row>
    <row r="925" spans="1:20" x14ac:dyDescent="0.3">
      <c r="A925">
        <v>1506130</v>
      </c>
      <c r="B925" t="s">
        <v>4110</v>
      </c>
      <c r="C925" t="s">
        <v>4111</v>
      </c>
      <c r="D925" t="s">
        <v>4112</v>
      </c>
      <c r="E925" t="s">
        <v>4113</v>
      </c>
      <c r="F925">
        <v>2017</v>
      </c>
      <c r="G925" t="s">
        <v>4114</v>
      </c>
      <c r="H925" t="s">
        <v>4115</v>
      </c>
      <c r="I925" t="s">
        <v>4116</v>
      </c>
      <c r="J925" t="s">
        <v>24</v>
      </c>
      <c r="K925" t="s">
        <v>269</v>
      </c>
      <c r="L925" t="b">
        <v>1</v>
      </c>
      <c r="M925" t="s">
        <v>4117</v>
      </c>
      <c r="N925" t="str">
        <f>"378.1/980973"</f>
        <v>378.1/980973</v>
      </c>
      <c r="P925" t="b">
        <v>0</v>
      </c>
      <c r="R925" t="str">
        <f>"9780826118073"</f>
        <v>9780826118073</v>
      </c>
      <c r="S925" t="str">
        <f>"9780826118165"</f>
        <v>9780826118165</v>
      </c>
      <c r="T925">
        <v>983204988</v>
      </c>
    </row>
    <row r="926" spans="1:20" x14ac:dyDescent="0.3">
      <c r="A926">
        <v>1506122</v>
      </c>
      <c r="B926" t="s">
        <v>4118</v>
      </c>
      <c r="D926" t="s">
        <v>3029</v>
      </c>
      <c r="E926" t="s">
        <v>3030</v>
      </c>
      <c r="F926">
        <v>2017</v>
      </c>
      <c r="G926" t="s">
        <v>3044</v>
      </c>
      <c r="H926" t="s">
        <v>4119</v>
      </c>
      <c r="I926" t="s">
        <v>4120</v>
      </c>
      <c r="J926" t="s">
        <v>24</v>
      </c>
      <c r="K926" t="s">
        <v>25</v>
      </c>
      <c r="L926" t="b">
        <v>1</v>
      </c>
      <c r="M926" t="s">
        <v>4121</v>
      </c>
      <c r="N926" t="str">
        <f>"808/.032"</f>
        <v>808/.032</v>
      </c>
      <c r="O926" t="s">
        <v>4122</v>
      </c>
      <c r="P926" t="b">
        <v>0</v>
      </c>
      <c r="R926" t="str">
        <f>"9789027246721"</f>
        <v>9789027246721</v>
      </c>
      <c r="S926" t="str">
        <f>"9789027265906"</f>
        <v>9789027265906</v>
      </c>
      <c r="T926">
        <v>981509120</v>
      </c>
    </row>
    <row r="927" spans="1:20" x14ac:dyDescent="0.3">
      <c r="A927">
        <v>1506121</v>
      </c>
      <c r="B927" t="s">
        <v>4123</v>
      </c>
      <c r="D927" t="s">
        <v>3029</v>
      </c>
      <c r="E927" t="s">
        <v>3030</v>
      </c>
      <c r="F927">
        <v>2017</v>
      </c>
      <c r="G927" t="s">
        <v>370</v>
      </c>
      <c r="H927" t="s">
        <v>4124</v>
      </c>
      <c r="I927" t="s">
        <v>4125</v>
      </c>
      <c r="J927" t="s">
        <v>24</v>
      </c>
      <c r="K927" t="s">
        <v>25</v>
      </c>
      <c r="L927" t="b">
        <v>1</v>
      </c>
      <c r="M927" t="s">
        <v>4126</v>
      </c>
      <c r="N927" t="str">
        <f>"492"</f>
        <v>492</v>
      </c>
      <c r="O927" t="s">
        <v>4127</v>
      </c>
      <c r="P927" t="b">
        <v>0</v>
      </c>
      <c r="R927" t="str">
        <f>"9789027248565"</f>
        <v>9789027248565</v>
      </c>
      <c r="S927" t="str">
        <f>"9789027265838"</f>
        <v>9789027265838</v>
      </c>
      <c r="T927">
        <v>983786630</v>
      </c>
    </row>
    <row r="928" spans="1:20" x14ac:dyDescent="0.3">
      <c r="A928">
        <v>1505392</v>
      </c>
      <c r="B928" t="s">
        <v>4128</v>
      </c>
      <c r="C928" t="s">
        <v>4129</v>
      </c>
      <c r="D928" t="s">
        <v>2458</v>
      </c>
      <c r="E928" t="s">
        <v>2459</v>
      </c>
      <c r="F928">
        <v>2017</v>
      </c>
      <c r="G928" t="s">
        <v>1415</v>
      </c>
      <c r="H928" t="s">
        <v>4130</v>
      </c>
      <c r="I928" t="s">
        <v>4131</v>
      </c>
      <c r="J928" t="s">
        <v>2437</v>
      </c>
      <c r="K928" t="s">
        <v>25</v>
      </c>
      <c r="L928" t="b">
        <v>1</v>
      </c>
      <c r="M928" t="s">
        <v>4132</v>
      </c>
      <c r="N928" t="str">
        <f>"306"</f>
        <v>306</v>
      </c>
      <c r="O928" t="s">
        <v>4133</v>
      </c>
      <c r="P928" t="b">
        <v>0</v>
      </c>
      <c r="R928" t="str">
        <f>"9783837638585"</f>
        <v>9783837638585</v>
      </c>
      <c r="S928" t="str">
        <f>"9783839438589"</f>
        <v>9783839438589</v>
      </c>
      <c r="T928">
        <v>988175005</v>
      </c>
    </row>
    <row r="929" spans="1:20" x14ac:dyDescent="0.3">
      <c r="A929">
        <v>1505384</v>
      </c>
      <c r="B929" t="s">
        <v>4134</v>
      </c>
      <c r="C929" t="s">
        <v>4135</v>
      </c>
      <c r="D929" t="s">
        <v>2458</v>
      </c>
      <c r="E929" t="s">
        <v>2459</v>
      </c>
      <c r="F929">
        <v>2017</v>
      </c>
      <c r="G929" t="s">
        <v>939</v>
      </c>
      <c r="H929" t="s">
        <v>4136</v>
      </c>
      <c r="I929" t="s">
        <v>4137</v>
      </c>
      <c r="J929" t="s">
        <v>2437</v>
      </c>
      <c r="K929" t="s">
        <v>25</v>
      </c>
      <c r="L929" t="b">
        <v>1</v>
      </c>
      <c r="M929" t="s">
        <v>4138</v>
      </c>
      <c r="N929" t="str">
        <f>"300"</f>
        <v>300</v>
      </c>
      <c r="O929" t="s">
        <v>4133</v>
      </c>
      <c r="P929" t="b">
        <v>0</v>
      </c>
      <c r="R929" t="str">
        <f>"9783837638110"</f>
        <v>9783837638110</v>
      </c>
      <c r="S929" t="str">
        <f>"9783839438114"</f>
        <v>9783839438114</v>
      </c>
      <c r="T929">
        <v>984657004</v>
      </c>
    </row>
    <row r="930" spans="1:20" x14ac:dyDescent="0.3">
      <c r="A930">
        <v>1505211</v>
      </c>
      <c r="B930" t="s">
        <v>4139</v>
      </c>
      <c r="D930" t="s">
        <v>2450</v>
      </c>
      <c r="E930" t="s">
        <v>2451</v>
      </c>
      <c r="F930">
        <v>2017</v>
      </c>
      <c r="G930" t="s">
        <v>287</v>
      </c>
      <c r="H930" t="s">
        <v>4140</v>
      </c>
      <c r="I930" t="s">
        <v>4141</v>
      </c>
      <c r="J930" t="s">
        <v>2437</v>
      </c>
      <c r="K930" t="s">
        <v>25</v>
      </c>
      <c r="L930" t="b">
        <v>1</v>
      </c>
      <c r="M930" t="s">
        <v>4142</v>
      </c>
      <c r="N930" t="str">
        <f>"199.6"</f>
        <v>199.6</v>
      </c>
      <c r="P930" t="b">
        <v>0</v>
      </c>
      <c r="R930" t="str">
        <f>"9783959482417"</f>
        <v>9783959482417</v>
      </c>
      <c r="S930" t="str">
        <f>"9783959488044"</f>
        <v>9783959488044</v>
      </c>
      <c r="T930">
        <v>982958202</v>
      </c>
    </row>
    <row r="931" spans="1:20" x14ac:dyDescent="0.3">
      <c r="A931">
        <v>1505210</v>
      </c>
      <c r="B931" t="s">
        <v>4143</v>
      </c>
      <c r="D931" t="s">
        <v>2450</v>
      </c>
      <c r="E931" t="s">
        <v>2451</v>
      </c>
      <c r="F931">
        <v>2017</v>
      </c>
      <c r="G931" t="s">
        <v>287</v>
      </c>
      <c r="H931" t="s">
        <v>4144</v>
      </c>
      <c r="I931" t="s">
        <v>4145</v>
      </c>
      <c r="J931" t="s">
        <v>2437</v>
      </c>
      <c r="K931" t="s">
        <v>25</v>
      </c>
      <c r="L931" t="b">
        <v>1</v>
      </c>
      <c r="M931" t="s">
        <v>2915</v>
      </c>
      <c r="N931" t="str">
        <f>"126"</f>
        <v>126</v>
      </c>
      <c r="O931" t="s">
        <v>2916</v>
      </c>
      <c r="P931" t="b">
        <v>0</v>
      </c>
      <c r="R931" t="str">
        <f>"9783959481960"</f>
        <v>9783959481960</v>
      </c>
      <c r="S931" t="str">
        <f>"9783959488051"</f>
        <v>9783959488051</v>
      </c>
      <c r="T931">
        <v>982958201</v>
      </c>
    </row>
    <row r="932" spans="1:20" x14ac:dyDescent="0.3">
      <c r="A932">
        <v>1505208</v>
      </c>
      <c r="B932" t="s">
        <v>4146</v>
      </c>
      <c r="C932" t="s">
        <v>4147</v>
      </c>
      <c r="D932" t="s">
        <v>2450</v>
      </c>
      <c r="E932" t="s">
        <v>2451</v>
      </c>
      <c r="F932">
        <v>2017</v>
      </c>
      <c r="G932" t="s">
        <v>287</v>
      </c>
      <c r="H932" t="s">
        <v>4148</v>
      </c>
      <c r="I932" t="s">
        <v>4149</v>
      </c>
      <c r="J932" t="s">
        <v>24</v>
      </c>
      <c r="K932" t="s">
        <v>25</v>
      </c>
      <c r="L932" t="b">
        <v>1</v>
      </c>
      <c r="M932" t="s">
        <v>4150</v>
      </c>
      <c r="N932" t="str">
        <f>"100"</f>
        <v>100</v>
      </c>
      <c r="O932" t="s">
        <v>4151</v>
      </c>
      <c r="P932" t="b">
        <v>0</v>
      </c>
      <c r="R932" t="str">
        <f>"9783959482370"</f>
        <v>9783959482370</v>
      </c>
      <c r="S932" t="str">
        <f>"9783959488075"</f>
        <v>9783959488075</v>
      </c>
      <c r="T932">
        <v>982958199</v>
      </c>
    </row>
    <row r="933" spans="1:20" x14ac:dyDescent="0.3">
      <c r="A933">
        <v>1505206</v>
      </c>
      <c r="B933" t="s">
        <v>4152</v>
      </c>
      <c r="D933" t="s">
        <v>2450</v>
      </c>
      <c r="E933" t="s">
        <v>2451</v>
      </c>
      <c r="F933">
        <v>2017</v>
      </c>
      <c r="G933" t="s">
        <v>287</v>
      </c>
      <c r="H933" t="s">
        <v>4153</v>
      </c>
      <c r="I933" t="s">
        <v>4154</v>
      </c>
      <c r="J933" t="s">
        <v>2437</v>
      </c>
      <c r="K933" t="s">
        <v>25</v>
      </c>
      <c r="L933" t="b">
        <v>1</v>
      </c>
      <c r="M933" t="s">
        <v>4155</v>
      </c>
      <c r="N933" t="str">
        <f>"181/.07"</f>
        <v>181/.07</v>
      </c>
      <c r="P933" t="b">
        <v>0</v>
      </c>
      <c r="R933" t="str">
        <f>"9783959482349"</f>
        <v>9783959482349</v>
      </c>
      <c r="S933" t="str">
        <f>"9783959488099"</f>
        <v>9783959488099</v>
      </c>
      <c r="T933">
        <v>982958197</v>
      </c>
    </row>
    <row r="934" spans="1:20" x14ac:dyDescent="0.3">
      <c r="A934">
        <v>1505205</v>
      </c>
      <c r="B934" t="s">
        <v>4156</v>
      </c>
      <c r="C934" t="s">
        <v>4157</v>
      </c>
      <c r="D934" t="s">
        <v>2450</v>
      </c>
      <c r="E934" t="s">
        <v>2451</v>
      </c>
      <c r="F934">
        <v>2017</v>
      </c>
      <c r="G934" t="s">
        <v>287</v>
      </c>
      <c r="H934" t="s">
        <v>4158</v>
      </c>
      <c r="I934" t="s">
        <v>4159</v>
      </c>
      <c r="J934" t="s">
        <v>2437</v>
      </c>
      <c r="K934" t="s">
        <v>25</v>
      </c>
      <c r="L934" t="b">
        <v>1</v>
      </c>
      <c r="M934" t="s">
        <v>4160</v>
      </c>
      <c r="N934" t="str">
        <f>"100"</f>
        <v>100</v>
      </c>
      <c r="P934" t="b">
        <v>0</v>
      </c>
      <c r="R934" t="str">
        <f>"9783959481410"</f>
        <v>9783959481410</v>
      </c>
      <c r="S934" t="str">
        <f>"9783959488105"</f>
        <v>9783959488105</v>
      </c>
      <c r="T934">
        <v>982958196</v>
      </c>
    </row>
    <row r="935" spans="1:20" x14ac:dyDescent="0.3">
      <c r="A935">
        <v>1505104</v>
      </c>
      <c r="B935" t="s">
        <v>4161</v>
      </c>
      <c r="D935" t="s">
        <v>1482</v>
      </c>
      <c r="E935" t="s">
        <v>1482</v>
      </c>
      <c r="F935">
        <v>2017</v>
      </c>
      <c r="G935" t="s">
        <v>249</v>
      </c>
      <c r="H935" t="s">
        <v>4162</v>
      </c>
      <c r="I935" t="s">
        <v>4163</v>
      </c>
      <c r="J935" t="s">
        <v>24</v>
      </c>
      <c r="K935" t="s">
        <v>25</v>
      </c>
      <c r="L935" t="b">
        <v>1</v>
      </c>
      <c r="M935" t="s">
        <v>4164</v>
      </c>
      <c r="N935" t="str">
        <f>"328.4/15"</f>
        <v>328.4/15</v>
      </c>
      <c r="P935" t="b">
        <v>0</v>
      </c>
      <c r="R935" t="str">
        <f>"9780719099601"</f>
        <v>9780719099601</v>
      </c>
      <c r="S935" t="str">
        <f>"9781526116376"</f>
        <v>9781526116376</v>
      </c>
      <c r="T935">
        <v>982895336</v>
      </c>
    </row>
    <row r="936" spans="1:20" x14ac:dyDescent="0.3">
      <c r="A936">
        <v>1505103</v>
      </c>
      <c r="B936" t="s">
        <v>4165</v>
      </c>
      <c r="C936" t="s">
        <v>4166</v>
      </c>
      <c r="D936" t="s">
        <v>1482</v>
      </c>
      <c r="E936" t="s">
        <v>1482</v>
      </c>
      <c r="F936">
        <v>2017</v>
      </c>
      <c r="G936" t="s">
        <v>4167</v>
      </c>
      <c r="H936" t="s">
        <v>4168</v>
      </c>
      <c r="I936" t="s">
        <v>4169</v>
      </c>
      <c r="J936" t="s">
        <v>24</v>
      </c>
      <c r="K936" t="s">
        <v>25</v>
      </c>
      <c r="L936" t="b">
        <v>1</v>
      </c>
      <c r="M936" t="s">
        <v>4170</v>
      </c>
      <c r="N936" t="str">
        <f>"709.4756"</f>
        <v>709.4756</v>
      </c>
      <c r="O936" t="s">
        <v>4171</v>
      </c>
      <c r="P936" t="b">
        <v>0</v>
      </c>
      <c r="R936" t="str">
        <f>"9780719089534"</f>
        <v>9780719089534</v>
      </c>
      <c r="S936" t="str">
        <f>"9781526114389"</f>
        <v>9781526114389</v>
      </c>
      <c r="T936">
        <v>982958052</v>
      </c>
    </row>
    <row r="937" spans="1:20" x14ac:dyDescent="0.3">
      <c r="A937">
        <v>1505100</v>
      </c>
      <c r="B937" t="s">
        <v>4172</v>
      </c>
      <c r="D937" t="s">
        <v>1482</v>
      </c>
      <c r="E937" t="s">
        <v>1482</v>
      </c>
      <c r="F937">
        <v>2017</v>
      </c>
      <c r="G937" t="s">
        <v>4173</v>
      </c>
      <c r="H937" t="s">
        <v>4174</v>
      </c>
      <c r="I937" t="s">
        <v>4175</v>
      </c>
      <c r="J937" t="s">
        <v>24</v>
      </c>
      <c r="K937" t="s">
        <v>25</v>
      </c>
      <c r="L937" t="b">
        <v>1</v>
      </c>
      <c r="M937" t="s">
        <v>4176</v>
      </c>
      <c r="N937" t="str">
        <f>"709.04/0755"</f>
        <v>709.04/0755</v>
      </c>
      <c r="O937" t="s">
        <v>4171</v>
      </c>
      <c r="P937" t="b">
        <v>1</v>
      </c>
      <c r="R937" t="str">
        <f>"9781784994211"</f>
        <v>9781784994211</v>
      </c>
      <c r="S937" t="str">
        <f>"9781526115607"</f>
        <v>9781526115607</v>
      </c>
      <c r="T937">
        <v>984130177</v>
      </c>
    </row>
    <row r="938" spans="1:20" x14ac:dyDescent="0.3">
      <c r="A938">
        <v>1505093</v>
      </c>
      <c r="B938" t="s">
        <v>4177</v>
      </c>
      <c r="C938" t="s">
        <v>4178</v>
      </c>
      <c r="D938" t="s">
        <v>2597</v>
      </c>
      <c r="E938" t="s">
        <v>2598</v>
      </c>
      <c r="F938">
        <v>2017</v>
      </c>
      <c r="G938" t="s">
        <v>1391</v>
      </c>
      <c r="H938" t="s">
        <v>4179</v>
      </c>
      <c r="J938" t="s">
        <v>24</v>
      </c>
      <c r="K938" t="s">
        <v>25</v>
      </c>
      <c r="L938" t="b">
        <v>1</v>
      </c>
      <c r="M938" t="s">
        <v>4180</v>
      </c>
      <c r="N938" t="str">
        <f>"338.98"</f>
        <v>338.98</v>
      </c>
      <c r="P938" t="b">
        <v>0</v>
      </c>
      <c r="R938" t="str">
        <f>"9781513520247"</f>
        <v>9781513520247</v>
      </c>
      <c r="S938" t="str">
        <f>"9781475577143"</f>
        <v>9781475577143</v>
      </c>
      <c r="T938">
        <v>983743041</v>
      </c>
    </row>
    <row r="939" spans="1:20" x14ac:dyDescent="0.3">
      <c r="A939">
        <v>1505091</v>
      </c>
      <c r="B939" t="s">
        <v>4181</v>
      </c>
      <c r="D939" t="s">
        <v>2597</v>
      </c>
      <c r="E939" t="s">
        <v>2598</v>
      </c>
      <c r="F939">
        <v>2017</v>
      </c>
      <c r="J939" t="s">
        <v>24</v>
      </c>
      <c r="K939" t="s">
        <v>25</v>
      </c>
      <c r="L939" t="b">
        <v>1</v>
      </c>
      <c r="M939" t="s">
        <v>3276</v>
      </c>
      <c r="P939" t="b">
        <v>0</v>
      </c>
      <c r="R939" t="str">
        <f>"9781475591828"</f>
        <v>9781475591828</v>
      </c>
      <c r="S939" t="str">
        <f>"9781475591880"</f>
        <v>9781475591880</v>
      </c>
    </row>
    <row r="940" spans="1:20" x14ac:dyDescent="0.3">
      <c r="A940">
        <v>1505090</v>
      </c>
      <c r="B940" t="s">
        <v>4182</v>
      </c>
      <c r="D940" t="s">
        <v>2597</v>
      </c>
      <c r="E940" t="s">
        <v>2598</v>
      </c>
      <c r="F940">
        <v>2017</v>
      </c>
      <c r="J940" t="s">
        <v>24</v>
      </c>
      <c r="K940" t="s">
        <v>25</v>
      </c>
      <c r="L940" t="b">
        <v>1</v>
      </c>
      <c r="M940" t="s">
        <v>4183</v>
      </c>
      <c r="P940" t="b">
        <v>0</v>
      </c>
      <c r="R940" t="str">
        <f>"9781475592757"</f>
        <v>9781475592757</v>
      </c>
      <c r="S940" t="str">
        <f>"9781475592825"</f>
        <v>9781475592825</v>
      </c>
    </row>
    <row r="941" spans="1:20" x14ac:dyDescent="0.3">
      <c r="A941">
        <v>1505085</v>
      </c>
      <c r="B941" t="s">
        <v>4184</v>
      </c>
      <c r="D941" t="s">
        <v>2597</v>
      </c>
      <c r="E941" t="s">
        <v>2598</v>
      </c>
      <c r="F941">
        <v>2017</v>
      </c>
      <c r="J941" t="s">
        <v>24</v>
      </c>
      <c r="K941" t="s">
        <v>25</v>
      </c>
      <c r="L941" t="b">
        <v>1</v>
      </c>
      <c r="M941" t="s">
        <v>4185</v>
      </c>
      <c r="P941" t="b">
        <v>0</v>
      </c>
      <c r="R941" t="str">
        <f>"9781475588644"</f>
        <v>9781475588644</v>
      </c>
      <c r="S941" t="str">
        <f>"9781475588880"</f>
        <v>9781475588880</v>
      </c>
    </row>
    <row r="942" spans="1:20" x14ac:dyDescent="0.3">
      <c r="A942">
        <v>1505079</v>
      </c>
      <c r="B942" t="s">
        <v>4186</v>
      </c>
      <c r="D942" t="s">
        <v>2597</v>
      </c>
      <c r="E942" t="s">
        <v>2598</v>
      </c>
      <c r="F942">
        <v>2017</v>
      </c>
      <c r="J942" t="s">
        <v>24</v>
      </c>
      <c r="K942" t="s">
        <v>25</v>
      </c>
      <c r="L942" t="b">
        <v>1</v>
      </c>
      <c r="M942" t="s">
        <v>4187</v>
      </c>
      <c r="P942" t="b">
        <v>0</v>
      </c>
      <c r="R942" t="str">
        <f>"9781475589887"</f>
        <v>9781475589887</v>
      </c>
      <c r="S942" t="str">
        <f>"9781475590173"</f>
        <v>9781475590173</v>
      </c>
    </row>
    <row r="943" spans="1:20" x14ac:dyDescent="0.3">
      <c r="A943">
        <v>1505078</v>
      </c>
      <c r="B943" t="s">
        <v>4188</v>
      </c>
      <c r="D943" t="s">
        <v>2597</v>
      </c>
      <c r="E943" t="s">
        <v>2598</v>
      </c>
      <c r="F943">
        <v>2017</v>
      </c>
      <c r="J943" t="s">
        <v>24</v>
      </c>
      <c r="K943" t="s">
        <v>25</v>
      </c>
      <c r="L943" t="b">
        <v>1</v>
      </c>
      <c r="M943" t="s">
        <v>4189</v>
      </c>
      <c r="P943" t="b">
        <v>0</v>
      </c>
      <c r="R943" t="str">
        <f>"9781475583977"</f>
        <v>9781475583977</v>
      </c>
      <c r="S943" t="str">
        <f>"9781475585087"</f>
        <v>9781475585087</v>
      </c>
    </row>
    <row r="944" spans="1:20" x14ac:dyDescent="0.3">
      <c r="A944">
        <v>1505077</v>
      </c>
      <c r="B944" t="s">
        <v>4190</v>
      </c>
      <c r="D944" t="s">
        <v>2597</v>
      </c>
      <c r="E944" t="s">
        <v>2598</v>
      </c>
      <c r="F944">
        <v>2017</v>
      </c>
      <c r="J944" t="s">
        <v>24</v>
      </c>
      <c r="K944" t="s">
        <v>25</v>
      </c>
      <c r="L944" t="b">
        <v>1</v>
      </c>
      <c r="M944" t="s">
        <v>4191</v>
      </c>
      <c r="P944" t="b">
        <v>0</v>
      </c>
      <c r="R944" t="str">
        <f>"9781475592245"</f>
        <v>9781475592245</v>
      </c>
      <c r="S944" t="str">
        <f>"9781475592467"</f>
        <v>9781475592467</v>
      </c>
    </row>
    <row r="945" spans="1:20" x14ac:dyDescent="0.3">
      <c r="A945">
        <v>1505076</v>
      </c>
      <c r="B945" t="s">
        <v>4192</v>
      </c>
      <c r="D945" t="s">
        <v>2597</v>
      </c>
      <c r="E945" t="s">
        <v>2598</v>
      </c>
      <c r="F945">
        <v>2017</v>
      </c>
      <c r="J945" t="s">
        <v>24</v>
      </c>
      <c r="K945" t="s">
        <v>25</v>
      </c>
      <c r="L945" t="b">
        <v>1</v>
      </c>
      <c r="M945" t="s">
        <v>4193</v>
      </c>
      <c r="P945" t="b">
        <v>0</v>
      </c>
      <c r="R945" t="str">
        <f>"9781475589627"</f>
        <v>9781475589627</v>
      </c>
      <c r="S945" t="str">
        <f>"9781475590067"</f>
        <v>9781475590067</v>
      </c>
    </row>
    <row r="946" spans="1:20" x14ac:dyDescent="0.3">
      <c r="A946">
        <v>1505075</v>
      </c>
      <c r="B946" t="s">
        <v>3879</v>
      </c>
      <c r="D946" t="s">
        <v>2597</v>
      </c>
      <c r="E946" t="s">
        <v>2598</v>
      </c>
      <c r="F946">
        <v>2017</v>
      </c>
      <c r="J946" t="s">
        <v>24</v>
      </c>
      <c r="K946" t="s">
        <v>25</v>
      </c>
      <c r="L946" t="b">
        <v>1</v>
      </c>
      <c r="M946" t="s">
        <v>4194</v>
      </c>
      <c r="P946" t="b">
        <v>0</v>
      </c>
      <c r="R946" t="str">
        <f>"9781475583618"</f>
        <v>9781475583618</v>
      </c>
      <c r="S946" t="str">
        <f>"9781475592856"</f>
        <v>9781475592856</v>
      </c>
    </row>
    <row r="947" spans="1:20" x14ac:dyDescent="0.3">
      <c r="A947">
        <v>1505074</v>
      </c>
      <c r="B947" t="s">
        <v>4195</v>
      </c>
      <c r="D947" t="s">
        <v>2597</v>
      </c>
      <c r="E947" t="s">
        <v>2598</v>
      </c>
      <c r="F947">
        <v>2017</v>
      </c>
      <c r="J947" t="s">
        <v>24</v>
      </c>
      <c r="K947" t="s">
        <v>25</v>
      </c>
      <c r="L947" t="b">
        <v>1</v>
      </c>
      <c r="M947" t="s">
        <v>4196</v>
      </c>
      <c r="P947" t="b">
        <v>0</v>
      </c>
      <c r="R947" t="str">
        <f>"9781475592153"</f>
        <v>9781475592153</v>
      </c>
      <c r="S947" t="str">
        <f>"9781475592252"</f>
        <v>9781475592252</v>
      </c>
    </row>
    <row r="948" spans="1:20" x14ac:dyDescent="0.3">
      <c r="A948">
        <v>1505073</v>
      </c>
      <c r="B948" t="s">
        <v>4197</v>
      </c>
      <c r="D948" t="s">
        <v>2597</v>
      </c>
      <c r="E948" t="s">
        <v>2598</v>
      </c>
      <c r="F948">
        <v>2017</v>
      </c>
      <c r="J948" t="s">
        <v>24</v>
      </c>
      <c r="K948" t="s">
        <v>25</v>
      </c>
      <c r="L948" t="b">
        <v>1</v>
      </c>
      <c r="M948" t="s">
        <v>4198</v>
      </c>
      <c r="P948" t="b">
        <v>0</v>
      </c>
      <c r="R948" t="str">
        <f>"9781475592610"</f>
        <v>9781475592610</v>
      </c>
      <c r="S948" t="str">
        <f>"9781475592795"</f>
        <v>9781475592795</v>
      </c>
    </row>
    <row r="949" spans="1:20" x14ac:dyDescent="0.3">
      <c r="A949">
        <v>1505072</v>
      </c>
      <c r="B949" t="s">
        <v>4199</v>
      </c>
      <c r="D949" t="s">
        <v>2597</v>
      </c>
      <c r="E949" t="s">
        <v>2598</v>
      </c>
      <c r="F949">
        <v>2017</v>
      </c>
      <c r="J949" t="s">
        <v>24</v>
      </c>
      <c r="K949" t="s">
        <v>25</v>
      </c>
      <c r="L949" t="b">
        <v>1</v>
      </c>
      <c r="M949" t="s">
        <v>4200</v>
      </c>
      <c r="P949" t="b">
        <v>0</v>
      </c>
      <c r="R949" t="str">
        <f>"9781475590302"</f>
        <v>9781475590302</v>
      </c>
      <c r="S949" t="str">
        <f>"9781475590487"</f>
        <v>9781475590487</v>
      </c>
    </row>
    <row r="950" spans="1:20" x14ac:dyDescent="0.3">
      <c r="A950">
        <v>1505071</v>
      </c>
      <c r="B950" t="s">
        <v>4201</v>
      </c>
      <c r="D950" t="s">
        <v>2597</v>
      </c>
      <c r="E950" t="s">
        <v>2598</v>
      </c>
      <c r="F950">
        <v>2017</v>
      </c>
      <c r="J950" t="s">
        <v>24</v>
      </c>
      <c r="K950" t="s">
        <v>25</v>
      </c>
      <c r="L950" t="b">
        <v>1</v>
      </c>
      <c r="M950" t="s">
        <v>4202</v>
      </c>
      <c r="P950" t="b">
        <v>0</v>
      </c>
      <c r="R950" t="str">
        <f>"9781475589573"</f>
        <v>9781475589573</v>
      </c>
      <c r="S950" t="str">
        <f>"9781475589665"</f>
        <v>9781475589665</v>
      </c>
    </row>
    <row r="951" spans="1:20" x14ac:dyDescent="0.3">
      <c r="A951">
        <v>1505070</v>
      </c>
      <c r="B951" t="s">
        <v>4203</v>
      </c>
      <c r="D951" t="s">
        <v>2597</v>
      </c>
      <c r="E951" t="s">
        <v>2598</v>
      </c>
      <c r="F951">
        <v>2017</v>
      </c>
      <c r="J951" t="s">
        <v>24</v>
      </c>
      <c r="K951" t="s">
        <v>25</v>
      </c>
      <c r="L951" t="b">
        <v>1</v>
      </c>
      <c r="M951" t="s">
        <v>4204</v>
      </c>
      <c r="P951" t="b">
        <v>0</v>
      </c>
      <c r="R951" t="str">
        <f>"9781475589603"</f>
        <v>9781475589603</v>
      </c>
      <c r="S951" t="str">
        <f>"9781475590005"</f>
        <v>9781475590005</v>
      </c>
    </row>
    <row r="952" spans="1:20" x14ac:dyDescent="0.3">
      <c r="A952">
        <v>1505068</v>
      </c>
      <c r="B952" t="s">
        <v>4205</v>
      </c>
      <c r="D952" t="s">
        <v>2597</v>
      </c>
      <c r="E952" t="s">
        <v>2598</v>
      </c>
      <c r="F952">
        <v>2017</v>
      </c>
      <c r="J952" t="s">
        <v>24</v>
      </c>
      <c r="K952" t="s">
        <v>25</v>
      </c>
      <c r="L952" t="b">
        <v>1</v>
      </c>
      <c r="M952" t="s">
        <v>4206</v>
      </c>
      <c r="P952" t="b">
        <v>0</v>
      </c>
      <c r="R952" t="str">
        <f>"9781475589597"</f>
        <v>9781475589597</v>
      </c>
      <c r="S952" t="str">
        <f>"9781475589948"</f>
        <v>9781475589948</v>
      </c>
    </row>
    <row r="953" spans="1:20" x14ac:dyDescent="0.3">
      <c r="A953">
        <v>1505067</v>
      </c>
      <c r="B953" t="s">
        <v>4207</v>
      </c>
      <c r="D953" t="s">
        <v>2597</v>
      </c>
      <c r="E953" t="s">
        <v>2598</v>
      </c>
      <c r="F953">
        <v>2017</v>
      </c>
      <c r="J953" t="s">
        <v>24</v>
      </c>
      <c r="K953" t="s">
        <v>25</v>
      </c>
      <c r="L953" t="b">
        <v>1</v>
      </c>
      <c r="M953" t="s">
        <v>4208</v>
      </c>
      <c r="P953" t="b">
        <v>0</v>
      </c>
      <c r="R953" t="str">
        <f>"9781475590951"</f>
        <v>9781475590951</v>
      </c>
      <c r="S953" t="str">
        <f>"9781475590982"</f>
        <v>9781475590982</v>
      </c>
    </row>
    <row r="954" spans="1:20" x14ac:dyDescent="0.3">
      <c r="A954">
        <v>1505066</v>
      </c>
      <c r="B954" t="s">
        <v>4209</v>
      </c>
      <c r="D954" t="s">
        <v>2597</v>
      </c>
      <c r="E954" t="s">
        <v>2598</v>
      </c>
      <c r="F954">
        <v>2017</v>
      </c>
      <c r="J954" t="s">
        <v>24</v>
      </c>
      <c r="K954" t="s">
        <v>25</v>
      </c>
      <c r="L954" t="b">
        <v>1</v>
      </c>
      <c r="M954" t="s">
        <v>4210</v>
      </c>
      <c r="P954" t="b">
        <v>0</v>
      </c>
      <c r="R954" t="str">
        <f>"9781475590234"</f>
        <v>9781475590234</v>
      </c>
      <c r="S954" t="str">
        <f>"9781475590296"</f>
        <v>9781475590296</v>
      </c>
    </row>
    <row r="955" spans="1:20" x14ac:dyDescent="0.3">
      <c r="A955">
        <v>1505065</v>
      </c>
      <c r="B955" t="s">
        <v>4211</v>
      </c>
      <c r="D955" t="s">
        <v>2597</v>
      </c>
      <c r="E955" t="s">
        <v>2598</v>
      </c>
      <c r="F955">
        <v>2017</v>
      </c>
      <c r="J955" t="s">
        <v>24</v>
      </c>
      <c r="K955" t="s">
        <v>25</v>
      </c>
      <c r="L955" t="b">
        <v>1</v>
      </c>
      <c r="M955" t="s">
        <v>4212</v>
      </c>
      <c r="P955" t="b">
        <v>0</v>
      </c>
      <c r="R955" t="str">
        <f>"9781475590180"</f>
        <v>9781475590180</v>
      </c>
      <c r="S955" t="str">
        <f>"9781475590227"</f>
        <v>9781475590227</v>
      </c>
    </row>
    <row r="956" spans="1:20" x14ac:dyDescent="0.3">
      <c r="A956">
        <v>1505064</v>
      </c>
      <c r="B956" t="s">
        <v>4213</v>
      </c>
      <c r="D956" t="s">
        <v>2597</v>
      </c>
      <c r="E956" t="s">
        <v>2598</v>
      </c>
      <c r="F956">
        <v>2017</v>
      </c>
      <c r="J956" t="s">
        <v>24</v>
      </c>
      <c r="K956" t="s">
        <v>25</v>
      </c>
      <c r="L956" t="b">
        <v>1</v>
      </c>
      <c r="M956" t="s">
        <v>4214</v>
      </c>
      <c r="P956" t="b">
        <v>0</v>
      </c>
      <c r="R956" t="str">
        <f>"9781475589634"</f>
        <v>9781475589634</v>
      </c>
      <c r="S956" t="str">
        <f>"9781475590135"</f>
        <v>9781475590135</v>
      </c>
    </row>
    <row r="957" spans="1:20" x14ac:dyDescent="0.3">
      <c r="A957">
        <v>1505063</v>
      </c>
      <c r="B957" t="s">
        <v>4215</v>
      </c>
      <c r="D957" t="s">
        <v>2597</v>
      </c>
      <c r="E957" t="s">
        <v>2598</v>
      </c>
      <c r="F957">
        <v>2017</v>
      </c>
      <c r="J957" t="s">
        <v>24</v>
      </c>
      <c r="K957" t="s">
        <v>25</v>
      </c>
      <c r="L957" t="b">
        <v>1</v>
      </c>
      <c r="M957" t="s">
        <v>4216</v>
      </c>
      <c r="P957" t="b">
        <v>0</v>
      </c>
      <c r="R957" t="str">
        <f>"9781475591330"</f>
        <v>9781475591330</v>
      </c>
      <c r="S957" t="str">
        <f>"9781475591453"</f>
        <v>9781475591453</v>
      </c>
    </row>
    <row r="958" spans="1:20" x14ac:dyDescent="0.3">
      <c r="A958">
        <v>1505062</v>
      </c>
      <c r="B958" t="s">
        <v>4217</v>
      </c>
      <c r="D958" t="s">
        <v>2597</v>
      </c>
      <c r="E958" t="s">
        <v>2598</v>
      </c>
      <c r="F958">
        <v>2017</v>
      </c>
      <c r="J958" t="s">
        <v>24</v>
      </c>
      <c r="K958" t="s">
        <v>25</v>
      </c>
      <c r="L958" t="b">
        <v>1</v>
      </c>
      <c r="M958" t="s">
        <v>4218</v>
      </c>
      <c r="P958" t="b">
        <v>0</v>
      </c>
      <c r="R958" t="str">
        <f>"9781475591170"</f>
        <v>9781475591170</v>
      </c>
      <c r="S958" t="str">
        <f>"9781475591309"</f>
        <v>9781475591309</v>
      </c>
    </row>
    <row r="959" spans="1:20" x14ac:dyDescent="0.3">
      <c r="A959">
        <v>1504987</v>
      </c>
      <c r="B959" t="s">
        <v>4219</v>
      </c>
      <c r="C959" t="s">
        <v>4220</v>
      </c>
      <c r="D959" t="s">
        <v>394</v>
      </c>
      <c r="E959" t="s">
        <v>394</v>
      </c>
      <c r="F959">
        <v>2017</v>
      </c>
      <c r="G959" t="s">
        <v>4221</v>
      </c>
      <c r="H959" t="s">
        <v>4222</v>
      </c>
      <c r="I959" t="s">
        <v>4223</v>
      </c>
      <c r="J959" t="s">
        <v>24</v>
      </c>
      <c r="K959" t="s">
        <v>25</v>
      </c>
      <c r="L959" t="b">
        <v>1</v>
      </c>
      <c r="M959" t="s">
        <v>4224</v>
      </c>
      <c r="N959" t="str">
        <f>"791.43/6557"</f>
        <v>791.43/6557</v>
      </c>
      <c r="O959" t="s">
        <v>4225</v>
      </c>
      <c r="P959" t="b">
        <v>0</v>
      </c>
      <c r="Q959" t="b">
        <v>0</v>
      </c>
      <c r="R959" t="str">
        <f>"9789463009638"</f>
        <v>9789463009638</v>
      </c>
      <c r="S959" t="str">
        <f>"9789463009652"</f>
        <v>9789463009652</v>
      </c>
      <c r="T959">
        <v>982957876</v>
      </c>
    </row>
    <row r="960" spans="1:20" x14ac:dyDescent="0.3">
      <c r="A960">
        <v>1504966</v>
      </c>
      <c r="B960" t="s">
        <v>4226</v>
      </c>
      <c r="D960" t="s">
        <v>45</v>
      </c>
      <c r="E960" t="s">
        <v>45</v>
      </c>
      <c r="F960">
        <v>2017</v>
      </c>
      <c r="G960" t="s">
        <v>4227</v>
      </c>
      <c r="J960" t="s">
        <v>24</v>
      </c>
      <c r="K960" t="s">
        <v>269</v>
      </c>
      <c r="L960" t="b">
        <v>1</v>
      </c>
      <c r="O960" t="s">
        <v>4228</v>
      </c>
      <c r="P960" t="b">
        <v>0</v>
      </c>
      <c r="R960" t="str">
        <f>"9783110546040"</f>
        <v>9783110546040</v>
      </c>
      <c r="S960" t="str">
        <f>"9783110546071"</f>
        <v>9783110546071</v>
      </c>
    </row>
    <row r="961" spans="1:20" x14ac:dyDescent="0.3">
      <c r="A961">
        <v>1504947</v>
      </c>
      <c r="B961">
        <v>2016</v>
      </c>
      <c r="D961" t="s">
        <v>45</v>
      </c>
      <c r="E961" t="s">
        <v>45</v>
      </c>
      <c r="F961">
        <v>2016</v>
      </c>
      <c r="G961" t="s">
        <v>2318</v>
      </c>
      <c r="J961" t="s">
        <v>4229</v>
      </c>
      <c r="K961" t="s">
        <v>269</v>
      </c>
      <c r="L961" t="b">
        <v>1</v>
      </c>
      <c r="P961" t="b">
        <v>0</v>
      </c>
      <c r="R961" t="str">
        <f>"9783110419849"</f>
        <v>9783110419849</v>
      </c>
      <c r="S961" t="str">
        <f>"9783110419863"</f>
        <v>9783110419863</v>
      </c>
    </row>
    <row r="962" spans="1:20" x14ac:dyDescent="0.3">
      <c r="A962">
        <v>1504936</v>
      </c>
      <c r="B962" t="s">
        <v>4230</v>
      </c>
      <c r="C962" t="s">
        <v>4231</v>
      </c>
      <c r="D962" t="s">
        <v>45</v>
      </c>
      <c r="E962" t="s">
        <v>45</v>
      </c>
      <c r="F962">
        <v>2017</v>
      </c>
      <c r="G962" t="s">
        <v>4232</v>
      </c>
      <c r="J962" t="s">
        <v>24</v>
      </c>
      <c r="K962" t="s">
        <v>269</v>
      </c>
      <c r="L962" t="b">
        <v>1</v>
      </c>
      <c r="M962" t="s">
        <v>4233</v>
      </c>
      <c r="P962" t="b">
        <v>0</v>
      </c>
      <c r="R962" t="str">
        <f>"9783110496994"</f>
        <v>9783110496994</v>
      </c>
      <c r="S962" t="str">
        <f>"9783110497694"</f>
        <v>9783110497694</v>
      </c>
    </row>
    <row r="963" spans="1:20" x14ac:dyDescent="0.3">
      <c r="A963">
        <v>1504934</v>
      </c>
      <c r="B963" t="s">
        <v>4234</v>
      </c>
      <c r="C963" t="s">
        <v>4235</v>
      </c>
      <c r="D963" t="s">
        <v>45</v>
      </c>
      <c r="E963" t="s">
        <v>45</v>
      </c>
      <c r="F963">
        <v>2017</v>
      </c>
      <c r="G963" t="s">
        <v>97</v>
      </c>
      <c r="H963" t="s">
        <v>4236</v>
      </c>
      <c r="J963" t="s">
        <v>24</v>
      </c>
      <c r="K963" t="s">
        <v>269</v>
      </c>
      <c r="L963" t="b">
        <v>1</v>
      </c>
      <c r="M963" t="s">
        <v>4237</v>
      </c>
      <c r="N963" t="str">
        <f>"833.914"</f>
        <v>833.914</v>
      </c>
      <c r="O963" t="s">
        <v>4238</v>
      </c>
      <c r="P963" t="b">
        <v>0</v>
      </c>
      <c r="R963" t="str">
        <f>"9783110523843"</f>
        <v>9783110523843</v>
      </c>
      <c r="S963" t="str">
        <f>"9783110524321"</f>
        <v>9783110524321</v>
      </c>
      <c r="T963">
        <v>983740104</v>
      </c>
    </row>
    <row r="964" spans="1:20" x14ac:dyDescent="0.3">
      <c r="A964">
        <v>1504933</v>
      </c>
      <c r="B964" t="s">
        <v>4239</v>
      </c>
      <c r="C964" t="s">
        <v>4240</v>
      </c>
      <c r="D964" t="s">
        <v>45</v>
      </c>
      <c r="E964" t="s">
        <v>318</v>
      </c>
      <c r="F964">
        <v>2017</v>
      </c>
      <c r="G964" t="s">
        <v>4241</v>
      </c>
      <c r="H964" t="s">
        <v>4242</v>
      </c>
      <c r="I964" t="s">
        <v>4243</v>
      </c>
      <c r="J964" t="s">
        <v>24</v>
      </c>
      <c r="K964" t="s">
        <v>269</v>
      </c>
      <c r="L964" t="b">
        <v>1</v>
      </c>
      <c r="M964" t="s">
        <v>4244</v>
      </c>
      <c r="N964" t="str">
        <f>"940.2/8"</f>
        <v>940.2/8</v>
      </c>
      <c r="P964" t="b">
        <v>0</v>
      </c>
      <c r="R964" t="str">
        <f>"9783110521771"</f>
        <v>9783110521771</v>
      </c>
      <c r="S964" t="str">
        <f>"9783110522099"</f>
        <v>9783110522099</v>
      </c>
      <c r="T964">
        <v>985769436</v>
      </c>
    </row>
    <row r="965" spans="1:20" x14ac:dyDescent="0.3">
      <c r="A965">
        <v>1504928</v>
      </c>
      <c r="B965" t="s">
        <v>4245</v>
      </c>
      <c r="C965" t="s">
        <v>4246</v>
      </c>
      <c r="D965" t="s">
        <v>45</v>
      </c>
      <c r="E965" t="s">
        <v>45</v>
      </c>
      <c r="F965">
        <v>2017</v>
      </c>
      <c r="G965" t="s">
        <v>1817</v>
      </c>
      <c r="H965" t="s">
        <v>4247</v>
      </c>
      <c r="I965" t="s">
        <v>4248</v>
      </c>
      <c r="J965" t="s">
        <v>24</v>
      </c>
      <c r="K965" t="s">
        <v>269</v>
      </c>
      <c r="L965" t="b">
        <v>1</v>
      </c>
      <c r="M965" t="s">
        <v>4249</v>
      </c>
      <c r="N965" t="str">
        <f>"930"</f>
        <v>930</v>
      </c>
      <c r="O965" t="s">
        <v>4250</v>
      </c>
      <c r="P965" t="b">
        <v>0</v>
      </c>
      <c r="R965" t="str">
        <f>"9783110501278"</f>
        <v>9783110501278</v>
      </c>
      <c r="S965" t="str">
        <f>"9783110514674"</f>
        <v>9783110514674</v>
      </c>
      <c r="T965">
        <v>984656933</v>
      </c>
    </row>
    <row r="966" spans="1:20" x14ac:dyDescent="0.3">
      <c r="A966">
        <v>1504920</v>
      </c>
      <c r="B966" t="s">
        <v>4251</v>
      </c>
      <c r="D966" t="s">
        <v>45</v>
      </c>
      <c r="E966" t="s">
        <v>45</v>
      </c>
      <c r="F966">
        <v>2017</v>
      </c>
      <c r="G966" t="s">
        <v>3945</v>
      </c>
      <c r="J966" t="s">
        <v>24</v>
      </c>
      <c r="K966" t="s">
        <v>269</v>
      </c>
      <c r="L966" t="b">
        <v>1</v>
      </c>
      <c r="M966" t="s">
        <v>4252</v>
      </c>
      <c r="O966" t="s">
        <v>4253</v>
      </c>
      <c r="P966" t="b">
        <v>0</v>
      </c>
      <c r="R966" t="str">
        <f>"9783110441079"</f>
        <v>9783110441079</v>
      </c>
      <c r="S966" t="str">
        <f>"9783110433012"</f>
        <v>9783110433012</v>
      </c>
    </row>
    <row r="967" spans="1:20" x14ac:dyDescent="0.3">
      <c r="A967">
        <v>1504919</v>
      </c>
      <c r="B967" t="s">
        <v>4254</v>
      </c>
      <c r="C967" t="s">
        <v>4255</v>
      </c>
      <c r="D967" t="s">
        <v>45</v>
      </c>
      <c r="E967" t="s">
        <v>313</v>
      </c>
      <c r="F967">
        <v>2017</v>
      </c>
      <c r="G967" t="s">
        <v>4256</v>
      </c>
      <c r="J967" t="s">
        <v>24</v>
      </c>
      <c r="K967" t="s">
        <v>269</v>
      </c>
      <c r="L967" t="b">
        <v>1</v>
      </c>
      <c r="M967" t="s">
        <v>4257</v>
      </c>
      <c r="O967" t="s">
        <v>4258</v>
      </c>
      <c r="P967" t="b">
        <v>0</v>
      </c>
      <c r="R967" t="str">
        <f>"9783110425734"</f>
        <v>9783110425734</v>
      </c>
      <c r="S967" t="str">
        <f>"9783110422658"</f>
        <v>9783110422658</v>
      </c>
    </row>
    <row r="968" spans="1:20" x14ac:dyDescent="0.3">
      <c r="A968">
        <v>1504912</v>
      </c>
      <c r="B968" t="s">
        <v>4259</v>
      </c>
      <c r="C968" t="s">
        <v>4260</v>
      </c>
      <c r="D968" t="s">
        <v>45</v>
      </c>
      <c r="E968" t="s">
        <v>313</v>
      </c>
      <c r="F968">
        <v>2017</v>
      </c>
      <c r="G968" t="s">
        <v>314</v>
      </c>
      <c r="H968" t="s">
        <v>4261</v>
      </c>
      <c r="I968" t="s">
        <v>4262</v>
      </c>
      <c r="J968" t="s">
        <v>24</v>
      </c>
      <c r="K968" t="s">
        <v>269</v>
      </c>
      <c r="L968" t="b">
        <v>1</v>
      </c>
      <c r="M968" t="s">
        <v>4263</v>
      </c>
      <c r="N968" t="str">
        <f>"460"</f>
        <v>460</v>
      </c>
      <c r="O968" t="s">
        <v>3807</v>
      </c>
      <c r="P968" t="b">
        <v>0</v>
      </c>
      <c r="R968" t="str">
        <f>"9781614515883"</f>
        <v>9781614515883</v>
      </c>
      <c r="S968" t="str">
        <f>"9781501500886"</f>
        <v>9781501500886</v>
      </c>
      <c r="T968">
        <v>984688414</v>
      </c>
    </row>
    <row r="969" spans="1:20" x14ac:dyDescent="0.3">
      <c r="A969">
        <v>1504601</v>
      </c>
      <c r="B969" t="s">
        <v>4264</v>
      </c>
      <c r="C969" t="s">
        <v>4265</v>
      </c>
      <c r="D969" t="s">
        <v>1482</v>
      </c>
      <c r="E969" t="s">
        <v>1482</v>
      </c>
      <c r="F969">
        <v>2017</v>
      </c>
      <c r="G969" t="s">
        <v>4266</v>
      </c>
      <c r="H969" t="s">
        <v>4267</v>
      </c>
      <c r="I969" t="s">
        <v>4268</v>
      </c>
      <c r="J969" t="s">
        <v>24</v>
      </c>
      <c r="K969" t="s">
        <v>25</v>
      </c>
      <c r="L969" t="b">
        <v>1</v>
      </c>
      <c r="M969" t="s">
        <v>4269</v>
      </c>
      <c r="N969" t="str">
        <f>"331.88092"</f>
        <v>331.88092</v>
      </c>
      <c r="P969" t="b">
        <v>0</v>
      </c>
      <c r="R969" t="str">
        <f>"9781526100290"</f>
        <v>9781526100290</v>
      </c>
      <c r="S969" t="str">
        <f>"9781526100283"</f>
        <v>9781526100283</v>
      </c>
      <c r="T969">
        <v>982012444</v>
      </c>
    </row>
    <row r="970" spans="1:20" x14ac:dyDescent="0.3">
      <c r="A970">
        <v>1504600</v>
      </c>
      <c r="B970" t="s">
        <v>4270</v>
      </c>
      <c r="C970" t="s">
        <v>4271</v>
      </c>
      <c r="D970" t="s">
        <v>1482</v>
      </c>
      <c r="E970" t="s">
        <v>1482</v>
      </c>
      <c r="F970">
        <v>2017</v>
      </c>
      <c r="G970" t="s">
        <v>713</v>
      </c>
      <c r="H970" t="s">
        <v>4272</v>
      </c>
      <c r="I970" t="s">
        <v>4273</v>
      </c>
      <c r="J970" t="s">
        <v>24</v>
      </c>
      <c r="K970" t="s">
        <v>25</v>
      </c>
      <c r="L970" t="b">
        <v>1</v>
      </c>
      <c r="M970" t="s">
        <v>4274</v>
      </c>
      <c r="N970" t="str">
        <f>"306.36"</f>
        <v>306.36</v>
      </c>
      <c r="P970" t="b">
        <v>0</v>
      </c>
      <c r="R970" t="str">
        <f>"9781526107435"</f>
        <v>9781526107435</v>
      </c>
      <c r="S970" t="str">
        <f>"9781526116239"</f>
        <v>9781526116239</v>
      </c>
      <c r="T970">
        <v>982383282</v>
      </c>
    </row>
    <row r="971" spans="1:20" x14ac:dyDescent="0.3">
      <c r="A971">
        <v>1504521</v>
      </c>
      <c r="B971" t="s">
        <v>4275</v>
      </c>
      <c r="C971" t="s">
        <v>4276</v>
      </c>
      <c r="D971" t="s">
        <v>3842</v>
      </c>
      <c r="E971" t="s">
        <v>4277</v>
      </c>
      <c r="F971">
        <v>2017</v>
      </c>
      <c r="G971" t="s">
        <v>493</v>
      </c>
      <c r="H971" t="s">
        <v>4278</v>
      </c>
      <c r="I971" t="s">
        <v>4279</v>
      </c>
      <c r="J971" t="s">
        <v>24</v>
      </c>
      <c r="K971" t="s">
        <v>25</v>
      </c>
      <c r="L971" t="b">
        <v>1</v>
      </c>
      <c r="M971" t="s">
        <v>4280</v>
      </c>
      <c r="N971" t="str">
        <f>"220.6/6"</f>
        <v>220.6/6</v>
      </c>
      <c r="O971" t="s">
        <v>4281</v>
      </c>
      <c r="P971" t="b">
        <v>0</v>
      </c>
      <c r="R971" t="str">
        <f>"9780884142201"</f>
        <v>9780884142201</v>
      </c>
      <c r="S971" t="str">
        <f>"9780884142195"</f>
        <v>9780884142195</v>
      </c>
      <c r="T971">
        <v>969567594</v>
      </c>
    </row>
    <row r="972" spans="1:20" x14ac:dyDescent="0.3">
      <c r="A972">
        <v>1504520</v>
      </c>
      <c r="B972" t="s">
        <v>4282</v>
      </c>
      <c r="C972" t="s">
        <v>4283</v>
      </c>
      <c r="D972" t="s">
        <v>3842</v>
      </c>
      <c r="E972" t="s">
        <v>4277</v>
      </c>
      <c r="F972">
        <v>2017</v>
      </c>
      <c r="G972" t="s">
        <v>3844</v>
      </c>
      <c r="H972" t="s">
        <v>4284</v>
      </c>
      <c r="J972" t="s">
        <v>24</v>
      </c>
      <c r="K972" t="s">
        <v>25</v>
      </c>
      <c r="L972" t="b">
        <v>1</v>
      </c>
      <c r="M972" t="s">
        <v>4285</v>
      </c>
      <c r="N972" t="str">
        <f>"222/.506"</f>
        <v>222/.506</v>
      </c>
      <c r="O972" t="s">
        <v>4281</v>
      </c>
      <c r="P972" t="b">
        <v>0</v>
      </c>
      <c r="R972" t="str">
        <f>"9780884142126"</f>
        <v>9780884142126</v>
      </c>
      <c r="S972" t="str">
        <f>"9780884142119"</f>
        <v>9780884142119</v>
      </c>
      <c r="T972">
        <v>965781405</v>
      </c>
    </row>
    <row r="973" spans="1:20" x14ac:dyDescent="0.3">
      <c r="A973">
        <v>1504346</v>
      </c>
      <c r="B973" t="s">
        <v>4286</v>
      </c>
      <c r="C973" t="s">
        <v>4287</v>
      </c>
      <c r="D973" t="s">
        <v>3158</v>
      </c>
      <c r="E973" t="s">
        <v>3158</v>
      </c>
      <c r="F973">
        <v>2017</v>
      </c>
      <c r="G973" t="s">
        <v>4288</v>
      </c>
      <c r="H973" t="s">
        <v>4289</v>
      </c>
      <c r="I973" t="s">
        <v>4290</v>
      </c>
      <c r="J973" t="s">
        <v>2437</v>
      </c>
      <c r="K973" t="s">
        <v>25</v>
      </c>
      <c r="L973" t="b">
        <v>1</v>
      </c>
      <c r="M973" t="s">
        <v>4291</v>
      </c>
      <c r="N973" t="str">
        <f>"371.3344678"</f>
        <v>371.3344678</v>
      </c>
      <c r="O973" t="s">
        <v>4292</v>
      </c>
      <c r="P973" t="b">
        <v>0</v>
      </c>
      <c r="R973" t="str">
        <f>"9783830935889"</f>
        <v>9783830935889</v>
      </c>
      <c r="S973" t="str">
        <f>"9783830985884"</f>
        <v>9783830985884</v>
      </c>
      <c r="T973">
        <v>983192462</v>
      </c>
    </row>
    <row r="974" spans="1:20" x14ac:dyDescent="0.3">
      <c r="A974">
        <v>1503993</v>
      </c>
      <c r="B974" t="s">
        <v>4293</v>
      </c>
      <c r="D974" t="s">
        <v>3029</v>
      </c>
      <c r="E974" t="s">
        <v>3030</v>
      </c>
      <c r="F974">
        <v>2017</v>
      </c>
      <c r="G974" t="s">
        <v>3044</v>
      </c>
      <c r="H974" t="s">
        <v>3045</v>
      </c>
      <c r="I974" t="s">
        <v>4294</v>
      </c>
      <c r="J974" t="s">
        <v>24</v>
      </c>
      <c r="K974" t="s">
        <v>25</v>
      </c>
      <c r="L974" t="b">
        <v>1</v>
      </c>
      <c r="M974" t="s">
        <v>4295</v>
      </c>
      <c r="N974" t="str">
        <f>"401/.4"</f>
        <v>401/.4</v>
      </c>
      <c r="O974" t="s">
        <v>4296</v>
      </c>
      <c r="P974" t="b">
        <v>0</v>
      </c>
      <c r="R974" t="str">
        <f>"9789027201348"</f>
        <v>9789027201348</v>
      </c>
      <c r="S974" t="str">
        <f>"9789027266019"</f>
        <v>9789027266019</v>
      </c>
      <c r="T974">
        <v>980871632</v>
      </c>
    </row>
    <row r="975" spans="1:20" x14ac:dyDescent="0.3">
      <c r="A975">
        <v>1503992</v>
      </c>
      <c r="B975" t="s">
        <v>4297</v>
      </c>
      <c r="C975" t="s">
        <v>4298</v>
      </c>
      <c r="D975" t="s">
        <v>3029</v>
      </c>
      <c r="E975" t="s">
        <v>3030</v>
      </c>
      <c r="F975">
        <v>2017</v>
      </c>
      <c r="G975" t="s">
        <v>3044</v>
      </c>
      <c r="H975" t="s">
        <v>4299</v>
      </c>
      <c r="I975" t="s">
        <v>4300</v>
      </c>
      <c r="J975" t="s">
        <v>24</v>
      </c>
      <c r="K975" t="s">
        <v>25</v>
      </c>
      <c r="L975" t="b">
        <v>1</v>
      </c>
      <c r="M975" t="s">
        <v>4301</v>
      </c>
      <c r="N975" t="str">
        <f>"305.5/620141"</f>
        <v>305.5/620141</v>
      </c>
      <c r="O975" t="s">
        <v>4302</v>
      </c>
      <c r="P975" t="b">
        <v>0</v>
      </c>
      <c r="R975" t="str">
        <f>"9789027206602"</f>
        <v>9789027206602</v>
      </c>
      <c r="S975" t="str">
        <f>"9789027265883"</f>
        <v>9789027265883</v>
      </c>
      <c r="T975">
        <v>980871634</v>
      </c>
    </row>
    <row r="976" spans="1:20" x14ac:dyDescent="0.3">
      <c r="A976">
        <v>1503990</v>
      </c>
      <c r="B976" t="s">
        <v>4303</v>
      </c>
      <c r="C976" t="s">
        <v>4304</v>
      </c>
      <c r="D976" t="s">
        <v>3029</v>
      </c>
      <c r="E976" t="s">
        <v>3030</v>
      </c>
      <c r="F976">
        <v>2017</v>
      </c>
      <c r="G976" t="s">
        <v>3037</v>
      </c>
      <c r="H976" t="s">
        <v>4305</v>
      </c>
      <c r="I976" t="s">
        <v>4306</v>
      </c>
      <c r="J976" t="s">
        <v>24</v>
      </c>
      <c r="K976" t="s">
        <v>25</v>
      </c>
      <c r="L976" t="b">
        <v>1</v>
      </c>
      <c r="M976" t="s">
        <v>4307</v>
      </c>
      <c r="N976" t="str">
        <f>"418/.0201"</f>
        <v>418/.0201</v>
      </c>
      <c r="O976" t="s">
        <v>3041</v>
      </c>
      <c r="P976" t="b">
        <v>0</v>
      </c>
      <c r="R976" t="str">
        <f>"9789027258786"</f>
        <v>9789027258786</v>
      </c>
      <c r="S976" t="str">
        <f>"9789027265760"</f>
        <v>9789027265760</v>
      </c>
      <c r="T976">
        <v>981508976</v>
      </c>
    </row>
    <row r="977" spans="1:20" x14ac:dyDescent="0.3">
      <c r="A977">
        <v>1503989</v>
      </c>
      <c r="B977" t="s">
        <v>4308</v>
      </c>
      <c r="D977" t="s">
        <v>3029</v>
      </c>
      <c r="E977" t="s">
        <v>3030</v>
      </c>
      <c r="F977">
        <v>2017</v>
      </c>
      <c r="G977" t="s">
        <v>1762</v>
      </c>
      <c r="H977" t="s">
        <v>4309</v>
      </c>
      <c r="I977" t="s">
        <v>4310</v>
      </c>
      <c r="J977" t="s">
        <v>24</v>
      </c>
      <c r="K977" t="s">
        <v>25</v>
      </c>
      <c r="L977" t="b">
        <v>1</v>
      </c>
      <c r="M977" t="s">
        <v>4311</v>
      </c>
      <c r="N977" t="str">
        <f>"849.98102"</f>
        <v>849.98102</v>
      </c>
      <c r="O977" t="s">
        <v>4312</v>
      </c>
      <c r="P977" t="b">
        <v>0</v>
      </c>
      <c r="R977" t="str">
        <f>"9789027240217"</f>
        <v>9789027240217</v>
      </c>
      <c r="S977" t="str">
        <f>"9789027265333"</f>
        <v>9789027265333</v>
      </c>
      <c r="T977">
        <v>982451687</v>
      </c>
    </row>
    <row r="978" spans="1:20" x14ac:dyDescent="0.3">
      <c r="A978">
        <v>1503988</v>
      </c>
      <c r="B978" t="s">
        <v>4313</v>
      </c>
      <c r="D978" t="s">
        <v>3029</v>
      </c>
      <c r="E978" t="s">
        <v>3030</v>
      </c>
      <c r="F978">
        <v>2017</v>
      </c>
      <c r="G978" t="s">
        <v>4256</v>
      </c>
      <c r="H978" t="s">
        <v>4314</v>
      </c>
      <c r="I978" t="s">
        <v>4315</v>
      </c>
      <c r="J978" t="s">
        <v>24</v>
      </c>
      <c r="K978" t="s">
        <v>25</v>
      </c>
      <c r="L978" t="b">
        <v>1</v>
      </c>
      <c r="M978" t="s">
        <v>4316</v>
      </c>
      <c r="N978" t="str">
        <f>"496"</f>
        <v>496</v>
      </c>
      <c r="O978" t="s">
        <v>4127</v>
      </c>
      <c r="P978" t="b">
        <v>0</v>
      </c>
      <c r="R978" t="str">
        <f>"9789027248572"</f>
        <v>9789027248572</v>
      </c>
      <c r="S978" t="str">
        <f>"9789027265821"</f>
        <v>9789027265821</v>
      </c>
      <c r="T978">
        <v>982452148</v>
      </c>
    </row>
    <row r="979" spans="1:20" x14ac:dyDescent="0.3">
      <c r="A979">
        <v>1503986</v>
      </c>
      <c r="B979" t="s">
        <v>4317</v>
      </c>
      <c r="C979" t="s">
        <v>4318</v>
      </c>
      <c r="D979" t="s">
        <v>3029</v>
      </c>
      <c r="E979" t="s">
        <v>3030</v>
      </c>
      <c r="F979">
        <v>2017</v>
      </c>
      <c r="G979" t="s">
        <v>3177</v>
      </c>
      <c r="H979" t="s">
        <v>4319</v>
      </c>
      <c r="I979" t="s">
        <v>4320</v>
      </c>
      <c r="J979" t="s">
        <v>24</v>
      </c>
      <c r="K979" t="s">
        <v>25</v>
      </c>
      <c r="L979" t="b">
        <v>1</v>
      </c>
      <c r="M979" t="s">
        <v>4321</v>
      </c>
      <c r="N979" t="str">
        <f>"401/.43"</f>
        <v>401/.43</v>
      </c>
      <c r="P979" t="b">
        <v>0</v>
      </c>
      <c r="R979" t="str">
        <f>"9789027212481"</f>
        <v>9789027212481</v>
      </c>
      <c r="S979" t="str">
        <f>"9789027265999"</f>
        <v>9789027265999</v>
      </c>
      <c r="T979">
        <v>976036074</v>
      </c>
    </row>
    <row r="980" spans="1:20" x14ac:dyDescent="0.3">
      <c r="A980">
        <v>1503981</v>
      </c>
      <c r="B980" t="s">
        <v>4322</v>
      </c>
      <c r="D980" t="s">
        <v>3080</v>
      </c>
      <c r="E980" t="s">
        <v>4323</v>
      </c>
      <c r="F980">
        <v>2017</v>
      </c>
      <c r="G980" t="s">
        <v>534</v>
      </c>
      <c r="H980" t="s">
        <v>4324</v>
      </c>
      <c r="I980" t="s">
        <v>4325</v>
      </c>
      <c r="J980" t="s">
        <v>24</v>
      </c>
      <c r="K980" t="s">
        <v>25</v>
      </c>
      <c r="L980" t="b">
        <v>1</v>
      </c>
      <c r="M980" t="s">
        <v>4326</v>
      </c>
      <c r="N980" t="str">
        <f>"853/.914"</f>
        <v>853/.914</v>
      </c>
      <c r="P980" t="b">
        <v>0</v>
      </c>
      <c r="Q980" t="b">
        <v>0</v>
      </c>
      <c r="R980" t="str">
        <f>"9781910383445"</f>
        <v>9781910383445</v>
      </c>
      <c r="S980" t="str">
        <f>"9781910383452"</f>
        <v>9781910383452</v>
      </c>
      <c r="T980">
        <v>982487154</v>
      </c>
    </row>
    <row r="981" spans="1:20" x14ac:dyDescent="0.3">
      <c r="A981">
        <v>1503691</v>
      </c>
      <c r="B981" t="s">
        <v>4327</v>
      </c>
      <c r="C981" t="s">
        <v>4328</v>
      </c>
      <c r="D981" t="s">
        <v>3517</v>
      </c>
      <c r="E981" t="s">
        <v>4329</v>
      </c>
      <c r="F981">
        <v>2017</v>
      </c>
      <c r="G981" t="s">
        <v>4330</v>
      </c>
      <c r="J981" t="s">
        <v>24</v>
      </c>
      <c r="K981" t="s">
        <v>269</v>
      </c>
      <c r="L981" t="b">
        <v>1</v>
      </c>
      <c r="M981" t="s">
        <v>4331</v>
      </c>
      <c r="P981" t="b">
        <v>0</v>
      </c>
      <c r="Q981" t="b">
        <v>0</v>
      </c>
      <c r="R981" t="str">
        <f>"9781946206053"</f>
        <v>9781946206053</v>
      </c>
      <c r="S981" t="str">
        <f>"9781946206060"</f>
        <v>9781946206060</v>
      </c>
    </row>
    <row r="982" spans="1:20" x14ac:dyDescent="0.3">
      <c r="A982">
        <v>1503628</v>
      </c>
      <c r="B982" t="s">
        <v>4332</v>
      </c>
      <c r="D982" t="s">
        <v>4022</v>
      </c>
      <c r="E982" t="s">
        <v>4023</v>
      </c>
      <c r="F982">
        <v>2017</v>
      </c>
      <c r="G982" t="s">
        <v>174</v>
      </c>
      <c r="H982" t="s">
        <v>4333</v>
      </c>
      <c r="I982" t="s">
        <v>4334</v>
      </c>
      <c r="J982" t="s">
        <v>24</v>
      </c>
      <c r="K982" t="s">
        <v>269</v>
      </c>
      <c r="L982" t="b">
        <v>1</v>
      </c>
      <c r="M982" t="s">
        <v>4335</v>
      </c>
      <c r="N982" t="str">
        <f>"811.54"</f>
        <v>811.54</v>
      </c>
      <c r="P982" t="b">
        <v>0</v>
      </c>
      <c r="Q982" t="b">
        <v>0</v>
      </c>
      <c r="R982" t="str">
        <f>"9780934770361"</f>
        <v>9780934770361</v>
      </c>
      <c r="S982" t="str">
        <f>"9781518501494"</f>
        <v>9781518501494</v>
      </c>
      <c r="T982">
        <v>982377558</v>
      </c>
    </row>
    <row r="983" spans="1:20" x14ac:dyDescent="0.3">
      <c r="A983">
        <v>1502086</v>
      </c>
      <c r="B983" t="s">
        <v>4336</v>
      </c>
      <c r="D983" t="s">
        <v>2432</v>
      </c>
      <c r="E983" t="s">
        <v>2433</v>
      </c>
      <c r="F983">
        <v>2017</v>
      </c>
      <c r="G983" t="s">
        <v>456</v>
      </c>
      <c r="H983" t="s">
        <v>4337</v>
      </c>
      <c r="I983" t="s">
        <v>4338</v>
      </c>
      <c r="J983" t="s">
        <v>24</v>
      </c>
      <c r="K983" t="s">
        <v>25</v>
      </c>
      <c r="L983" t="b">
        <v>1</v>
      </c>
      <c r="M983" t="s">
        <v>4339</v>
      </c>
      <c r="N983" t="str">
        <f>"621.36/6"</f>
        <v>621.36/6</v>
      </c>
      <c r="P983" t="b">
        <v>0</v>
      </c>
      <c r="R983" t="str">
        <f>"9783737602846"</f>
        <v>9783737602846</v>
      </c>
      <c r="S983" t="str">
        <f>"9783737602853"</f>
        <v>9783737602853</v>
      </c>
      <c r="T983">
        <v>982288013</v>
      </c>
    </row>
    <row r="984" spans="1:20" x14ac:dyDescent="0.3">
      <c r="A984">
        <v>1500684</v>
      </c>
      <c r="B984" t="s">
        <v>4340</v>
      </c>
      <c r="C984" t="s">
        <v>4341</v>
      </c>
      <c r="D984" t="s">
        <v>3517</v>
      </c>
      <c r="E984" t="s">
        <v>3518</v>
      </c>
      <c r="F984">
        <v>2017</v>
      </c>
      <c r="G984" t="s">
        <v>569</v>
      </c>
      <c r="H984" t="s">
        <v>4342</v>
      </c>
      <c r="I984" t="s">
        <v>4343</v>
      </c>
      <c r="J984" t="s">
        <v>580</v>
      </c>
      <c r="K984" t="s">
        <v>269</v>
      </c>
      <c r="L984" t="b">
        <v>1</v>
      </c>
      <c r="M984" t="s">
        <v>4344</v>
      </c>
      <c r="N984" t="str">
        <f>"863/.609"</f>
        <v>863/.609</v>
      </c>
      <c r="O984" t="s">
        <v>4345</v>
      </c>
      <c r="P984" t="b">
        <v>0</v>
      </c>
      <c r="Q984" t="b">
        <v>0</v>
      </c>
      <c r="R984" t="str">
        <f>"9781557537683"</f>
        <v>9781557537683</v>
      </c>
      <c r="S984" t="str">
        <f>"9781612494845"</f>
        <v>9781612494845</v>
      </c>
      <c r="T984">
        <v>987307778</v>
      </c>
    </row>
    <row r="985" spans="1:20" x14ac:dyDescent="0.3">
      <c r="A985">
        <v>1499994</v>
      </c>
      <c r="B985" t="s">
        <v>4346</v>
      </c>
      <c r="C985" t="s">
        <v>4347</v>
      </c>
      <c r="D985" t="s">
        <v>1226</v>
      </c>
      <c r="E985" t="s">
        <v>3414</v>
      </c>
      <c r="F985">
        <v>2017</v>
      </c>
      <c r="G985" t="s">
        <v>3415</v>
      </c>
      <c r="H985" t="s">
        <v>4348</v>
      </c>
      <c r="J985" t="s">
        <v>24</v>
      </c>
      <c r="K985" t="s">
        <v>25</v>
      </c>
      <c r="L985" t="b">
        <v>1</v>
      </c>
      <c r="M985" t="s">
        <v>4349</v>
      </c>
      <c r="N985" t="str">
        <f>"303.6/9096"</f>
        <v>303.6/9096</v>
      </c>
      <c r="O985" t="s">
        <v>4350</v>
      </c>
      <c r="P985" t="b">
        <v>0</v>
      </c>
      <c r="R985" t="str">
        <f>"9789956764174"</f>
        <v>9789956764174</v>
      </c>
      <c r="S985" t="str">
        <f>"9789956764785"</f>
        <v>9789956764785</v>
      </c>
      <c r="T985">
        <v>982468526</v>
      </c>
    </row>
    <row r="986" spans="1:20" x14ac:dyDescent="0.3">
      <c r="A986">
        <v>1499992</v>
      </c>
      <c r="B986" t="s">
        <v>4351</v>
      </c>
      <c r="D986" t="s">
        <v>1226</v>
      </c>
      <c r="E986" t="s">
        <v>3414</v>
      </c>
      <c r="F986">
        <v>2017</v>
      </c>
      <c r="G986" t="s">
        <v>1050</v>
      </c>
      <c r="H986" t="s">
        <v>4352</v>
      </c>
      <c r="I986" t="s">
        <v>4353</v>
      </c>
      <c r="J986" t="s">
        <v>24</v>
      </c>
      <c r="K986" t="s">
        <v>25</v>
      </c>
      <c r="L986" t="b">
        <v>1</v>
      </c>
      <c r="M986" t="s">
        <v>4354</v>
      </c>
      <c r="N986" t="str">
        <f>"966.9"</f>
        <v>966.9</v>
      </c>
      <c r="P986" t="b">
        <v>0</v>
      </c>
      <c r="R986" t="str">
        <f>"9789956764990"</f>
        <v>9789956764990</v>
      </c>
      <c r="S986" t="str">
        <f>"9789956764549"</f>
        <v>9789956764549</v>
      </c>
      <c r="T986">
        <v>982470260</v>
      </c>
    </row>
    <row r="987" spans="1:20" x14ac:dyDescent="0.3">
      <c r="A987">
        <v>1499990</v>
      </c>
      <c r="B987" t="s">
        <v>4355</v>
      </c>
      <c r="C987" t="s">
        <v>4356</v>
      </c>
      <c r="D987" t="s">
        <v>1226</v>
      </c>
      <c r="E987" t="s">
        <v>3414</v>
      </c>
      <c r="F987">
        <v>2017</v>
      </c>
      <c r="G987" t="s">
        <v>1050</v>
      </c>
      <c r="H987" t="s">
        <v>4357</v>
      </c>
      <c r="I987" t="s">
        <v>4358</v>
      </c>
      <c r="J987" t="s">
        <v>24</v>
      </c>
      <c r="K987" t="s">
        <v>25</v>
      </c>
      <c r="L987" t="b">
        <v>1</v>
      </c>
      <c r="M987" t="s">
        <v>4359</v>
      </c>
      <c r="N987" t="str">
        <f>"968.91"</f>
        <v>968.91</v>
      </c>
      <c r="P987" t="b">
        <v>0</v>
      </c>
      <c r="R987" t="str">
        <f>"9789956764297"</f>
        <v>9789956764297</v>
      </c>
      <c r="S987" t="str">
        <f>"9789956764303"</f>
        <v>9789956764303</v>
      </c>
      <c r="T987">
        <v>982451403</v>
      </c>
    </row>
    <row r="988" spans="1:20" x14ac:dyDescent="0.3">
      <c r="A988">
        <v>1499987</v>
      </c>
      <c r="B988" t="s">
        <v>4360</v>
      </c>
      <c r="D988" t="s">
        <v>1226</v>
      </c>
      <c r="E988" t="s">
        <v>4361</v>
      </c>
      <c r="F988">
        <v>2017</v>
      </c>
      <c r="G988" t="s">
        <v>4362</v>
      </c>
      <c r="J988" t="s">
        <v>24</v>
      </c>
      <c r="K988" t="s">
        <v>25</v>
      </c>
      <c r="L988" t="b">
        <v>1</v>
      </c>
      <c r="M988" t="s">
        <v>4363</v>
      </c>
      <c r="P988" t="b">
        <v>0</v>
      </c>
      <c r="R988" t="str">
        <f>"9783905758900"</f>
        <v>9783905758900</v>
      </c>
      <c r="S988" t="str">
        <f>"9783905758917"</f>
        <v>9783905758917</v>
      </c>
    </row>
    <row r="989" spans="1:20" x14ac:dyDescent="0.3">
      <c r="A989">
        <v>1499985</v>
      </c>
      <c r="B989" t="s">
        <v>4364</v>
      </c>
      <c r="D989" t="s">
        <v>4365</v>
      </c>
      <c r="E989" t="s">
        <v>4365</v>
      </c>
      <c r="F989">
        <v>2017</v>
      </c>
      <c r="G989" t="s">
        <v>73</v>
      </c>
      <c r="H989" t="s">
        <v>4366</v>
      </c>
      <c r="I989" t="s">
        <v>4367</v>
      </c>
      <c r="J989" t="s">
        <v>24</v>
      </c>
      <c r="K989" t="s">
        <v>25</v>
      </c>
      <c r="L989" t="b">
        <v>1</v>
      </c>
      <c r="M989" t="s">
        <v>4368</v>
      </c>
      <c r="N989" t="str">
        <f>"296.3/3609"</f>
        <v>296.3/3609</v>
      </c>
      <c r="O989" t="s">
        <v>4369</v>
      </c>
      <c r="P989" t="b">
        <v>0</v>
      </c>
      <c r="Q989" t="b">
        <v>0</v>
      </c>
      <c r="R989" t="str">
        <f>"9781618115690"</f>
        <v>9781618115690</v>
      </c>
      <c r="S989" t="str">
        <f>"9781618115706"</f>
        <v>9781618115706</v>
      </c>
      <c r="T989">
        <v>983739943</v>
      </c>
    </row>
    <row r="990" spans="1:20" x14ac:dyDescent="0.3">
      <c r="A990">
        <v>1499982</v>
      </c>
      <c r="B990" t="s">
        <v>4370</v>
      </c>
      <c r="C990" t="s">
        <v>4371</v>
      </c>
      <c r="D990" t="s">
        <v>4365</v>
      </c>
      <c r="E990" t="s">
        <v>4365</v>
      </c>
      <c r="F990">
        <v>2017</v>
      </c>
      <c r="G990" t="s">
        <v>73</v>
      </c>
      <c r="H990" t="s">
        <v>4372</v>
      </c>
      <c r="I990" t="s">
        <v>4373</v>
      </c>
      <c r="J990" t="s">
        <v>24</v>
      </c>
      <c r="K990" t="s">
        <v>25</v>
      </c>
      <c r="L990" t="b">
        <v>1</v>
      </c>
      <c r="M990" t="s">
        <v>4374</v>
      </c>
      <c r="N990" t="str">
        <f>"947/.004924"</f>
        <v>947/.004924</v>
      </c>
      <c r="O990" t="s">
        <v>4375</v>
      </c>
      <c r="P990" t="b">
        <v>0</v>
      </c>
      <c r="Q990" t="b">
        <v>0</v>
      </c>
      <c r="R990" t="str">
        <f>"9781618115560"</f>
        <v>9781618115560</v>
      </c>
      <c r="S990" t="str">
        <f>"9781618115577"</f>
        <v>9781618115577</v>
      </c>
      <c r="T990">
        <v>958585898</v>
      </c>
    </row>
    <row r="991" spans="1:20" x14ac:dyDescent="0.3">
      <c r="A991">
        <v>1498772</v>
      </c>
      <c r="B991" t="s">
        <v>4376</v>
      </c>
      <c r="C991" t="s">
        <v>4377</v>
      </c>
      <c r="D991" t="s">
        <v>707</v>
      </c>
      <c r="E991" t="s">
        <v>708</v>
      </c>
      <c r="F991">
        <v>2017</v>
      </c>
      <c r="G991" t="s">
        <v>60</v>
      </c>
      <c r="H991" t="s">
        <v>4378</v>
      </c>
      <c r="J991" t="s">
        <v>24</v>
      </c>
      <c r="K991" t="s">
        <v>269</v>
      </c>
      <c r="L991" t="b">
        <v>1</v>
      </c>
      <c r="M991" t="s">
        <v>4379</v>
      </c>
      <c r="N991" t="str">
        <f>"958.104/5"</f>
        <v>958.104/5</v>
      </c>
      <c r="P991" t="b">
        <v>0</v>
      </c>
      <c r="R991" t="str">
        <f>"9789386062772"</f>
        <v>9789386062772</v>
      </c>
      <c r="S991" t="str">
        <f>"9789386062789"</f>
        <v>9789386062789</v>
      </c>
      <c r="T991">
        <v>981912209</v>
      </c>
    </row>
    <row r="992" spans="1:20" x14ac:dyDescent="0.3">
      <c r="A992">
        <v>1498666</v>
      </c>
      <c r="B992" t="s">
        <v>4380</v>
      </c>
      <c r="C992" t="s">
        <v>4381</v>
      </c>
      <c r="D992" t="s">
        <v>403</v>
      </c>
      <c r="E992" t="s">
        <v>403</v>
      </c>
      <c r="F992">
        <v>2017</v>
      </c>
      <c r="G992" t="s">
        <v>60</v>
      </c>
      <c r="H992" t="s">
        <v>4382</v>
      </c>
      <c r="I992" t="s">
        <v>4383</v>
      </c>
      <c r="J992" t="s">
        <v>24</v>
      </c>
      <c r="K992" t="s">
        <v>25</v>
      </c>
      <c r="L992" t="b">
        <v>1</v>
      </c>
      <c r="M992" t="s">
        <v>4384</v>
      </c>
      <c r="N992" t="str">
        <f>"230.2092"</f>
        <v>230.2092</v>
      </c>
      <c r="O992" t="s">
        <v>4385</v>
      </c>
      <c r="P992" t="b">
        <v>0</v>
      </c>
      <c r="Q992" t="b">
        <v>0</v>
      </c>
      <c r="R992" t="str">
        <f>"9789089648730"</f>
        <v>9789089648730</v>
      </c>
      <c r="S992" t="str">
        <f>"9789048527373"</f>
        <v>9789048527373</v>
      </c>
      <c r="T992">
        <v>982149785</v>
      </c>
    </row>
    <row r="993" spans="1:20" x14ac:dyDescent="0.3">
      <c r="A993">
        <v>1498663</v>
      </c>
      <c r="B993" t="s">
        <v>4386</v>
      </c>
      <c r="C993" t="s">
        <v>4387</v>
      </c>
      <c r="D993" t="s">
        <v>403</v>
      </c>
      <c r="E993" t="s">
        <v>403</v>
      </c>
      <c r="F993">
        <v>2017</v>
      </c>
      <c r="G993" t="s">
        <v>249</v>
      </c>
      <c r="H993" t="s">
        <v>4388</v>
      </c>
      <c r="J993" t="s">
        <v>24</v>
      </c>
      <c r="K993" t="s">
        <v>25</v>
      </c>
      <c r="L993" t="b">
        <v>1</v>
      </c>
      <c r="M993" t="s">
        <v>4389</v>
      </c>
      <c r="N993" t="str">
        <f>"954.9"</f>
        <v>954.9</v>
      </c>
      <c r="O993" t="s">
        <v>4390</v>
      </c>
      <c r="P993" t="b">
        <v>0</v>
      </c>
      <c r="Q993" t="b">
        <v>0</v>
      </c>
      <c r="R993" t="str">
        <f>"9789089648860"</f>
        <v>9789089648860</v>
      </c>
      <c r="S993" t="str">
        <f>"9789048527502"</f>
        <v>9789048527502</v>
      </c>
      <c r="T993">
        <v>981912247</v>
      </c>
    </row>
    <row r="994" spans="1:20" x14ac:dyDescent="0.3">
      <c r="A994">
        <v>1498657</v>
      </c>
      <c r="B994" t="s">
        <v>4391</v>
      </c>
      <c r="C994" t="s">
        <v>4392</v>
      </c>
      <c r="D994" t="s">
        <v>2567</v>
      </c>
      <c r="E994" t="s">
        <v>2568</v>
      </c>
      <c r="F994">
        <v>2017</v>
      </c>
      <c r="G994" t="s">
        <v>1391</v>
      </c>
      <c r="H994" t="s">
        <v>4393</v>
      </c>
      <c r="I994" t="s">
        <v>4394</v>
      </c>
      <c r="J994" t="s">
        <v>2571</v>
      </c>
      <c r="K994" t="s">
        <v>25</v>
      </c>
      <c r="L994" t="b">
        <v>1</v>
      </c>
      <c r="M994" t="s">
        <v>4395</v>
      </c>
      <c r="N994" t="str">
        <f>"338.4702504"</f>
        <v>338.4702504</v>
      </c>
      <c r="P994" t="b">
        <v>0</v>
      </c>
      <c r="R994" t="str">
        <f>"9784764905245"</f>
        <v>9784764905245</v>
      </c>
      <c r="S994" t="str">
        <f>"9784764971134"</f>
        <v>9784764971134</v>
      </c>
      <c r="T994">
        <v>981912013</v>
      </c>
    </row>
    <row r="995" spans="1:20" x14ac:dyDescent="0.3">
      <c r="A995">
        <v>1498656</v>
      </c>
      <c r="B995" t="s">
        <v>4396</v>
      </c>
      <c r="D995" t="s">
        <v>2567</v>
      </c>
      <c r="E995" t="s">
        <v>2568</v>
      </c>
      <c r="F995">
        <v>2017</v>
      </c>
      <c r="G995" t="s">
        <v>340</v>
      </c>
      <c r="H995" t="s">
        <v>4397</v>
      </c>
      <c r="I995" t="s">
        <v>4398</v>
      </c>
      <c r="J995" t="s">
        <v>2571</v>
      </c>
      <c r="K995" t="s">
        <v>25</v>
      </c>
      <c r="L995" t="b">
        <v>1</v>
      </c>
      <c r="M995" t="s">
        <v>4399</v>
      </c>
      <c r="N995" t="str">
        <f>"006.35"</f>
        <v>006.35</v>
      </c>
      <c r="O995" t="s">
        <v>4400</v>
      </c>
      <c r="P995" t="b">
        <v>0</v>
      </c>
      <c r="R995" t="str">
        <f>"9784764905320"</f>
        <v>9784764905320</v>
      </c>
      <c r="S995" t="str">
        <f>"9784764971141"</f>
        <v>9784764971141</v>
      </c>
      <c r="T995">
        <v>981911286</v>
      </c>
    </row>
    <row r="996" spans="1:20" x14ac:dyDescent="0.3">
      <c r="A996">
        <v>1498655</v>
      </c>
      <c r="B996" t="s">
        <v>4401</v>
      </c>
      <c r="D996" t="s">
        <v>2567</v>
      </c>
      <c r="E996" t="s">
        <v>2568</v>
      </c>
      <c r="F996">
        <v>2017</v>
      </c>
      <c r="G996" t="s">
        <v>4402</v>
      </c>
      <c r="H996" t="s">
        <v>4403</v>
      </c>
      <c r="I996" t="s">
        <v>4404</v>
      </c>
      <c r="J996" t="s">
        <v>2571</v>
      </c>
      <c r="K996" t="s">
        <v>25</v>
      </c>
      <c r="L996" t="b">
        <v>1</v>
      </c>
      <c r="M996" t="s">
        <v>4405</v>
      </c>
      <c r="N996" t="str">
        <f>"512/.22"</f>
        <v>512/.22</v>
      </c>
      <c r="O996" t="s">
        <v>4406</v>
      </c>
      <c r="P996" t="b">
        <v>0</v>
      </c>
      <c r="R996" t="str">
        <f>"9784764905337"</f>
        <v>9784764905337</v>
      </c>
      <c r="S996" t="str">
        <f>"9784764971158"</f>
        <v>9784764971158</v>
      </c>
      <c r="T996">
        <v>981910495</v>
      </c>
    </row>
    <row r="997" spans="1:20" x14ac:dyDescent="0.3">
      <c r="A997">
        <v>1498634</v>
      </c>
      <c r="B997" t="s">
        <v>4407</v>
      </c>
      <c r="D997" t="s">
        <v>3994</v>
      </c>
      <c r="E997" t="s">
        <v>3995</v>
      </c>
      <c r="F997">
        <v>2016</v>
      </c>
      <c r="J997" t="s">
        <v>442</v>
      </c>
      <c r="K997" t="s">
        <v>25</v>
      </c>
      <c r="L997" t="b">
        <v>1</v>
      </c>
      <c r="M997" t="s">
        <v>4408</v>
      </c>
      <c r="P997" t="b">
        <v>0</v>
      </c>
      <c r="R997" t="str">
        <f>"9781630810023"</f>
        <v>9781630810023</v>
      </c>
      <c r="S997" t="str">
        <f>"9781630810030"</f>
        <v>9781630810030</v>
      </c>
    </row>
    <row r="998" spans="1:20" x14ac:dyDescent="0.3">
      <c r="A998">
        <v>1498112</v>
      </c>
      <c r="B998" t="s">
        <v>4409</v>
      </c>
      <c r="D998" t="s">
        <v>2547</v>
      </c>
      <c r="E998" t="s">
        <v>2548</v>
      </c>
      <c r="F998">
        <v>2017</v>
      </c>
      <c r="G998" t="s">
        <v>1468</v>
      </c>
      <c r="H998" t="s">
        <v>4410</v>
      </c>
      <c r="I998" t="s">
        <v>4411</v>
      </c>
      <c r="J998" t="s">
        <v>596</v>
      </c>
      <c r="K998" t="s">
        <v>25</v>
      </c>
      <c r="L998" t="b">
        <v>1</v>
      </c>
      <c r="M998" t="s">
        <v>4412</v>
      </c>
      <c r="N998" t="str">
        <f>"346.45"</f>
        <v>346.45</v>
      </c>
      <c r="P998" t="b">
        <v>0</v>
      </c>
      <c r="Q998" t="b">
        <v>0</v>
      </c>
      <c r="S998" t="str">
        <f>"9788892165106"</f>
        <v>9788892165106</v>
      </c>
      <c r="T998">
        <v>999306827</v>
      </c>
    </row>
    <row r="999" spans="1:20" x14ac:dyDescent="0.3">
      <c r="A999">
        <v>1498110</v>
      </c>
      <c r="B999" t="s">
        <v>4413</v>
      </c>
      <c r="D999" t="s">
        <v>2547</v>
      </c>
      <c r="E999" t="s">
        <v>2548</v>
      </c>
      <c r="F999">
        <v>2016</v>
      </c>
      <c r="G999" t="s">
        <v>2650</v>
      </c>
      <c r="H999" t="s">
        <v>4414</v>
      </c>
      <c r="I999" t="s">
        <v>4415</v>
      </c>
      <c r="J999" t="s">
        <v>596</v>
      </c>
      <c r="K999" t="s">
        <v>269</v>
      </c>
      <c r="L999" t="b">
        <v>1</v>
      </c>
      <c r="M999" t="s">
        <v>4416</v>
      </c>
      <c r="N999" t="str">
        <f>"658.4072"</f>
        <v>658.4072</v>
      </c>
      <c r="O999" t="s">
        <v>4417</v>
      </c>
      <c r="P999" t="b">
        <v>0</v>
      </c>
      <c r="Q999" t="b">
        <v>0</v>
      </c>
      <c r="S999" t="str">
        <f>"9788892163423"</f>
        <v>9788892163423</v>
      </c>
      <c r="T999">
        <v>987017788</v>
      </c>
    </row>
    <row r="1000" spans="1:20" x14ac:dyDescent="0.3">
      <c r="A1000">
        <v>1498108</v>
      </c>
      <c r="B1000" t="s">
        <v>4418</v>
      </c>
      <c r="D1000" t="s">
        <v>2547</v>
      </c>
      <c r="E1000" t="s">
        <v>2548</v>
      </c>
      <c r="F1000">
        <v>2017</v>
      </c>
      <c r="G1000" t="s">
        <v>4419</v>
      </c>
      <c r="H1000" t="s">
        <v>4420</v>
      </c>
      <c r="I1000" t="s">
        <v>4421</v>
      </c>
      <c r="J1000" t="s">
        <v>596</v>
      </c>
      <c r="K1000" t="s">
        <v>269</v>
      </c>
      <c r="L1000" t="b">
        <v>1</v>
      </c>
      <c r="M1000" t="s">
        <v>4422</v>
      </c>
      <c r="N1000" t="str">
        <f>"347.45"</f>
        <v>347.45</v>
      </c>
      <c r="O1000" t="s">
        <v>4423</v>
      </c>
      <c r="P1000" t="b">
        <v>0</v>
      </c>
      <c r="Q1000" t="b">
        <v>0</v>
      </c>
      <c r="S1000" t="str">
        <f>"9788892166899"</f>
        <v>9788892166899</v>
      </c>
      <c r="T1000">
        <v>987022541</v>
      </c>
    </row>
    <row r="1001" spans="1:20" x14ac:dyDescent="0.3">
      <c r="A1001">
        <v>1498107</v>
      </c>
      <c r="B1001" t="s">
        <v>4424</v>
      </c>
      <c r="C1001" t="s">
        <v>4425</v>
      </c>
      <c r="D1001" t="s">
        <v>2547</v>
      </c>
      <c r="E1001" t="s">
        <v>2548</v>
      </c>
      <c r="F1001">
        <v>2017</v>
      </c>
      <c r="G1001" t="s">
        <v>1620</v>
      </c>
      <c r="H1001" t="s">
        <v>4426</v>
      </c>
      <c r="I1001" t="s">
        <v>4427</v>
      </c>
      <c r="J1001" t="s">
        <v>596</v>
      </c>
      <c r="K1001" t="s">
        <v>269</v>
      </c>
      <c r="L1001" t="b">
        <v>1</v>
      </c>
      <c r="M1001" t="s">
        <v>4428</v>
      </c>
      <c r="N1001" t="str">
        <f>"345.45"</f>
        <v>345.45</v>
      </c>
      <c r="P1001" t="b">
        <v>0</v>
      </c>
      <c r="Q1001" t="b">
        <v>0</v>
      </c>
      <c r="S1001" t="str">
        <f>"9788892166455"</f>
        <v>9788892166455</v>
      </c>
      <c r="T1001">
        <v>982452947</v>
      </c>
    </row>
    <row r="1002" spans="1:20" x14ac:dyDescent="0.3">
      <c r="A1002">
        <v>1498100</v>
      </c>
      <c r="B1002" t="s">
        <v>4429</v>
      </c>
      <c r="C1002" t="s">
        <v>4430</v>
      </c>
      <c r="D1002" t="s">
        <v>2547</v>
      </c>
      <c r="E1002" t="s">
        <v>2548</v>
      </c>
      <c r="F1002">
        <v>2017</v>
      </c>
      <c r="G1002" t="s">
        <v>3812</v>
      </c>
      <c r="H1002" t="s">
        <v>4431</v>
      </c>
      <c r="I1002" t="s">
        <v>4432</v>
      </c>
      <c r="J1002" t="s">
        <v>596</v>
      </c>
      <c r="K1002" t="s">
        <v>25</v>
      </c>
      <c r="L1002" t="b">
        <v>1</v>
      </c>
      <c r="M1002" t="s">
        <v>4433</v>
      </c>
      <c r="N1002" t="str">
        <f>"342.24"</f>
        <v>342.24</v>
      </c>
      <c r="O1002" t="s">
        <v>4434</v>
      </c>
      <c r="P1002" t="b">
        <v>0</v>
      </c>
      <c r="Q1002" t="b">
        <v>0</v>
      </c>
      <c r="S1002" t="str">
        <f>"9788892164840"</f>
        <v>9788892164840</v>
      </c>
      <c r="T1002">
        <v>984468765</v>
      </c>
    </row>
    <row r="1003" spans="1:20" x14ac:dyDescent="0.3">
      <c r="A1003">
        <v>1498097</v>
      </c>
      <c r="B1003" t="s">
        <v>4435</v>
      </c>
      <c r="C1003" t="s">
        <v>4436</v>
      </c>
      <c r="D1003" t="s">
        <v>2547</v>
      </c>
      <c r="E1003" t="s">
        <v>2548</v>
      </c>
      <c r="F1003">
        <v>2017</v>
      </c>
      <c r="G1003" t="s">
        <v>2434</v>
      </c>
      <c r="H1003" t="s">
        <v>4437</v>
      </c>
      <c r="I1003" t="s">
        <v>4438</v>
      </c>
      <c r="J1003" t="s">
        <v>596</v>
      </c>
      <c r="K1003" t="s">
        <v>25</v>
      </c>
      <c r="L1003" t="b">
        <v>1</v>
      </c>
      <c r="M1003" t="s">
        <v>4439</v>
      </c>
      <c r="N1003" t="str">
        <f>"340/.1"</f>
        <v>340/.1</v>
      </c>
      <c r="O1003" t="s">
        <v>4440</v>
      </c>
      <c r="P1003" t="b">
        <v>0</v>
      </c>
      <c r="Q1003" t="b">
        <v>0</v>
      </c>
      <c r="S1003" t="str">
        <f>"9788892166974"</f>
        <v>9788892166974</v>
      </c>
      <c r="T1003">
        <v>984386862</v>
      </c>
    </row>
    <row r="1004" spans="1:20" x14ac:dyDescent="0.3">
      <c r="A1004">
        <v>1498095</v>
      </c>
      <c r="B1004" t="s">
        <v>4441</v>
      </c>
      <c r="D1004" t="s">
        <v>2547</v>
      </c>
      <c r="E1004" t="s">
        <v>2548</v>
      </c>
      <c r="F1004">
        <v>2017</v>
      </c>
      <c r="G1004" t="s">
        <v>1468</v>
      </c>
      <c r="H1004" t="s">
        <v>4442</v>
      </c>
      <c r="I1004" t="s">
        <v>4443</v>
      </c>
      <c r="J1004" t="s">
        <v>596</v>
      </c>
      <c r="K1004" t="s">
        <v>269</v>
      </c>
      <c r="L1004" t="b">
        <v>1</v>
      </c>
      <c r="M1004" t="s">
        <v>4444</v>
      </c>
      <c r="N1004" t="str">
        <f>"346.4504/8"</f>
        <v>346.4504/8</v>
      </c>
      <c r="O1004" t="s">
        <v>4445</v>
      </c>
      <c r="P1004" t="b">
        <v>0</v>
      </c>
      <c r="Q1004" t="b">
        <v>0</v>
      </c>
      <c r="S1004" t="str">
        <f>"9788892166868"</f>
        <v>9788892166868</v>
      </c>
      <c r="T1004">
        <v>987267086</v>
      </c>
    </row>
    <row r="1005" spans="1:20" x14ac:dyDescent="0.3">
      <c r="A1005">
        <v>1498085</v>
      </c>
      <c r="B1005" t="s">
        <v>4446</v>
      </c>
      <c r="D1005" t="s">
        <v>2547</v>
      </c>
      <c r="E1005" t="s">
        <v>2548</v>
      </c>
      <c r="F1005">
        <v>2017</v>
      </c>
      <c r="G1005" t="s">
        <v>4419</v>
      </c>
      <c r="H1005" t="s">
        <v>4447</v>
      </c>
      <c r="I1005" t="s">
        <v>4448</v>
      </c>
      <c r="J1005" t="s">
        <v>596</v>
      </c>
      <c r="K1005" t="s">
        <v>25</v>
      </c>
      <c r="L1005" t="b">
        <v>1</v>
      </c>
      <c r="M1005" t="s">
        <v>4449</v>
      </c>
      <c r="N1005" t="str">
        <f>"347.45"</f>
        <v>347.45</v>
      </c>
      <c r="O1005" t="s">
        <v>4450</v>
      </c>
      <c r="P1005" t="b">
        <v>0</v>
      </c>
      <c r="Q1005" t="b">
        <v>0</v>
      </c>
      <c r="S1005" t="str">
        <f>"9788892166257"</f>
        <v>9788892166257</v>
      </c>
      <c r="T1005">
        <v>987010899</v>
      </c>
    </row>
    <row r="1006" spans="1:20" x14ac:dyDescent="0.3">
      <c r="A1006">
        <v>1498084</v>
      </c>
      <c r="B1006" t="s">
        <v>4451</v>
      </c>
      <c r="D1006" t="s">
        <v>2547</v>
      </c>
      <c r="E1006" t="s">
        <v>2548</v>
      </c>
      <c r="F1006">
        <v>2017</v>
      </c>
      <c r="G1006" t="s">
        <v>1620</v>
      </c>
      <c r="H1006" t="s">
        <v>4452</v>
      </c>
      <c r="I1006" t="s">
        <v>4453</v>
      </c>
      <c r="J1006" t="s">
        <v>596</v>
      </c>
      <c r="K1006" t="s">
        <v>269</v>
      </c>
      <c r="L1006" t="b">
        <v>1</v>
      </c>
      <c r="M1006" t="s">
        <v>4454</v>
      </c>
      <c r="N1006" t="str">
        <f>"345.4505044"</f>
        <v>345.4505044</v>
      </c>
      <c r="O1006" t="s">
        <v>4455</v>
      </c>
      <c r="P1006" t="b">
        <v>0</v>
      </c>
      <c r="Q1006" t="b">
        <v>0</v>
      </c>
      <c r="S1006" t="str">
        <f>"9788892166189"</f>
        <v>9788892166189</v>
      </c>
      <c r="T1006">
        <v>987023178</v>
      </c>
    </row>
    <row r="1007" spans="1:20" x14ac:dyDescent="0.3">
      <c r="A1007">
        <v>1498083</v>
      </c>
      <c r="B1007" t="s">
        <v>4456</v>
      </c>
      <c r="C1007" t="s">
        <v>4457</v>
      </c>
      <c r="D1007" t="s">
        <v>2547</v>
      </c>
      <c r="E1007" t="s">
        <v>2548</v>
      </c>
      <c r="F1007">
        <v>2017</v>
      </c>
      <c r="G1007" t="s">
        <v>1468</v>
      </c>
      <c r="H1007" t="s">
        <v>4458</v>
      </c>
      <c r="I1007" t="s">
        <v>4459</v>
      </c>
      <c r="J1007" t="s">
        <v>596</v>
      </c>
      <c r="K1007" t="s">
        <v>269</v>
      </c>
      <c r="L1007" t="b">
        <v>1</v>
      </c>
      <c r="M1007" t="s">
        <v>4460</v>
      </c>
      <c r="N1007" t="str">
        <f>"344.450188"</f>
        <v>344.450188</v>
      </c>
      <c r="O1007" t="s">
        <v>4461</v>
      </c>
      <c r="P1007" t="b">
        <v>0</v>
      </c>
      <c r="Q1007" t="b">
        <v>0</v>
      </c>
      <c r="S1007" t="str">
        <f>"9788892166103"</f>
        <v>9788892166103</v>
      </c>
      <c r="T1007">
        <v>987007620</v>
      </c>
    </row>
    <row r="1008" spans="1:20" x14ac:dyDescent="0.3">
      <c r="A1008">
        <v>1498081</v>
      </c>
      <c r="B1008" t="s">
        <v>4462</v>
      </c>
      <c r="C1008" t="s">
        <v>4463</v>
      </c>
      <c r="D1008" t="s">
        <v>2547</v>
      </c>
      <c r="E1008" t="s">
        <v>2548</v>
      </c>
      <c r="F1008">
        <v>2017</v>
      </c>
      <c r="G1008" t="s">
        <v>1468</v>
      </c>
      <c r="H1008" t="s">
        <v>4464</v>
      </c>
      <c r="I1008" t="s">
        <v>4465</v>
      </c>
      <c r="J1008" t="s">
        <v>596</v>
      </c>
      <c r="K1008" t="s">
        <v>269</v>
      </c>
      <c r="L1008" t="b">
        <v>1</v>
      </c>
      <c r="M1008" t="s">
        <v>4466</v>
      </c>
      <c r="N1008" t="str">
        <f>"344.4502"</f>
        <v>344.4502</v>
      </c>
      <c r="O1008" t="s">
        <v>4467</v>
      </c>
      <c r="P1008" t="b">
        <v>0</v>
      </c>
      <c r="Q1008" t="b">
        <v>0</v>
      </c>
      <c r="S1008" t="str">
        <f>"9788892166035"</f>
        <v>9788892166035</v>
      </c>
      <c r="T1008">
        <v>987021044</v>
      </c>
    </row>
    <row r="1009" spans="1:20" x14ac:dyDescent="0.3">
      <c r="A1009">
        <v>1498080</v>
      </c>
      <c r="B1009" t="s">
        <v>4468</v>
      </c>
      <c r="D1009" t="s">
        <v>2547</v>
      </c>
      <c r="E1009" t="s">
        <v>2548</v>
      </c>
      <c r="F1009">
        <v>2017</v>
      </c>
      <c r="G1009" t="s">
        <v>1620</v>
      </c>
      <c r="H1009" t="s">
        <v>4469</v>
      </c>
      <c r="I1009" t="s">
        <v>4470</v>
      </c>
      <c r="J1009" t="s">
        <v>596</v>
      </c>
      <c r="K1009" t="s">
        <v>269</v>
      </c>
      <c r="L1009" t="b">
        <v>1</v>
      </c>
      <c r="M1009" t="s">
        <v>4471</v>
      </c>
      <c r="N1009" t="str">
        <f>"345/.4506"</f>
        <v>345/.4506</v>
      </c>
      <c r="O1009" t="s">
        <v>4472</v>
      </c>
      <c r="P1009" t="b">
        <v>0</v>
      </c>
      <c r="Q1009" t="b">
        <v>0</v>
      </c>
      <c r="S1009" t="str">
        <f>"9788892165960"</f>
        <v>9788892165960</v>
      </c>
      <c r="T1009">
        <v>987007660</v>
      </c>
    </row>
    <row r="1010" spans="1:20" x14ac:dyDescent="0.3">
      <c r="A1010">
        <v>1498079</v>
      </c>
      <c r="B1010" t="s">
        <v>4473</v>
      </c>
      <c r="D1010" t="s">
        <v>2547</v>
      </c>
      <c r="E1010" t="s">
        <v>2548</v>
      </c>
      <c r="F1010">
        <v>2017</v>
      </c>
      <c r="G1010" t="s">
        <v>2549</v>
      </c>
      <c r="H1010" t="s">
        <v>4474</v>
      </c>
      <c r="I1010" t="s">
        <v>4475</v>
      </c>
      <c r="J1010" t="s">
        <v>596</v>
      </c>
      <c r="K1010" t="s">
        <v>269</v>
      </c>
      <c r="L1010" t="b">
        <v>1</v>
      </c>
      <c r="M1010" t="s">
        <v>4476</v>
      </c>
      <c r="N1010" t="str">
        <f>"343.4504"</f>
        <v>343.4504</v>
      </c>
      <c r="O1010" t="s">
        <v>4477</v>
      </c>
      <c r="P1010" t="b">
        <v>0</v>
      </c>
      <c r="Q1010" t="b">
        <v>0</v>
      </c>
      <c r="S1010" t="str">
        <f>"9788892165946"</f>
        <v>9788892165946</v>
      </c>
      <c r="T1010">
        <v>987022120</v>
      </c>
    </row>
    <row r="1011" spans="1:20" x14ac:dyDescent="0.3">
      <c r="A1011">
        <v>1498076</v>
      </c>
      <c r="B1011" t="s">
        <v>4478</v>
      </c>
      <c r="D1011" t="s">
        <v>2547</v>
      </c>
      <c r="E1011" t="s">
        <v>2548</v>
      </c>
      <c r="F1011">
        <v>2017</v>
      </c>
      <c r="G1011" t="s">
        <v>2549</v>
      </c>
      <c r="H1011" t="s">
        <v>4479</v>
      </c>
      <c r="I1011" t="s">
        <v>4480</v>
      </c>
      <c r="J1011" t="s">
        <v>596</v>
      </c>
      <c r="K1011" t="s">
        <v>269</v>
      </c>
      <c r="L1011" t="b">
        <v>1</v>
      </c>
      <c r="M1011" t="s">
        <v>4481</v>
      </c>
      <c r="N1011" t="str">
        <f>"343.4504"</f>
        <v>343.4504</v>
      </c>
      <c r="O1011" t="s">
        <v>4477</v>
      </c>
      <c r="P1011" t="b">
        <v>0</v>
      </c>
      <c r="Q1011" t="b">
        <v>0</v>
      </c>
      <c r="S1011" t="str">
        <f>"9788892165748"</f>
        <v>9788892165748</v>
      </c>
      <c r="T1011">
        <v>982451645</v>
      </c>
    </row>
    <row r="1012" spans="1:20" x14ac:dyDescent="0.3">
      <c r="A1012">
        <v>1498070</v>
      </c>
      <c r="B1012" t="s">
        <v>4482</v>
      </c>
      <c r="D1012" t="s">
        <v>2547</v>
      </c>
      <c r="E1012" t="s">
        <v>2548</v>
      </c>
      <c r="F1012">
        <v>2017</v>
      </c>
      <c r="G1012" t="s">
        <v>4483</v>
      </c>
      <c r="H1012" t="s">
        <v>4447</v>
      </c>
      <c r="I1012" t="s">
        <v>4484</v>
      </c>
      <c r="J1012" t="s">
        <v>596</v>
      </c>
      <c r="K1012" t="s">
        <v>269</v>
      </c>
      <c r="L1012" t="b">
        <v>1</v>
      </c>
      <c r="M1012" t="s">
        <v>4485</v>
      </c>
      <c r="N1012" t="str">
        <f>"347.45"</f>
        <v>347.45</v>
      </c>
      <c r="P1012" t="b">
        <v>0</v>
      </c>
      <c r="Q1012" t="b">
        <v>0</v>
      </c>
      <c r="S1012" t="str">
        <f>"9788892165502"</f>
        <v>9788892165502</v>
      </c>
      <c r="T1012">
        <v>987021381</v>
      </c>
    </row>
    <row r="1013" spans="1:20" x14ac:dyDescent="0.3">
      <c r="A1013">
        <v>1498064</v>
      </c>
      <c r="B1013" t="s">
        <v>4486</v>
      </c>
      <c r="D1013" t="s">
        <v>2547</v>
      </c>
      <c r="E1013" t="s">
        <v>2548</v>
      </c>
      <c r="F1013">
        <v>2017</v>
      </c>
      <c r="G1013" t="s">
        <v>1620</v>
      </c>
      <c r="H1013" t="s">
        <v>4487</v>
      </c>
      <c r="I1013" t="s">
        <v>4488</v>
      </c>
      <c r="J1013" t="s">
        <v>596</v>
      </c>
      <c r="K1013" t="s">
        <v>25</v>
      </c>
      <c r="L1013" t="b">
        <v>1</v>
      </c>
      <c r="M1013" t="s">
        <v>4489</v>
      </c>
      <c r="N1013" t="str">
        <f>"345.4506"</f>
        <v>345.4506</v>
      </c>
      <c r="O1013" t="s">
        <v>4490</v>
      </c>
      <c r="P1013" t="b">
        <v>0</v>
      </c>
      <c r="Q1013" t="b">
        <v>0</v>
      </c>
      <c r="S1013" t="str">
        <f>"9788892165250"</f>
        <v>9788892165250</v>
      </c>
      <c r="T1013">
        <v>987024960</v>
      </c>
    </row>
    <row r="1014" spans="1:20" x14ac:dyDescent="0.3">
      <c r="A1014">
        <v>1498060</v>
      </c>
      <c r="B1014" t="s">
        <v>4491</v>
      </c>
      <c r="D1014" t="s">
        <v>2547</v>
      </c>
      <c r="E1014" t="s">
        <v>2548</v>
      </c>
      <c r="F1014">
        <v>2017</v>
      </c>
      <c r="G1014" t="s">
        <v>1468</v>
      </c>
      <c r="H1014" t="s">
        <v>4492</v>
      </c>
      <c r="I1014" t="s">
        <v>4493</v>
      </c>
      <c r="J1014" t="s">
        <v>596</v>
      </c>
      <c r="K1014" t="s">
        <v>25</v>
      </c>
      <c r="L1014" t="b">
        <v>1</v>
      </c>
      <c r="M1014" t="s">
        <v>4494</v>
      </c>
      <c r="N1014" t="str">
        <f>"346.45/066"</f>
        <v>346.45/066</v>
      </c>
      <c r="O1014" t="s">
        <v>4495</v>
      </c>
      <c r="P1014" t="b">
        <v>0</v>
      </c>
      <c r="Q1014" t="b">
        <v>0</v>
      </c>
      <c r="S1014" t="str">
        <f>"9788892165137"</f>
        <v>9788892165137</v>
      </c>
      <c r="T1014">
        <v>987025028</v>
      </c>
    </row>
    <row r="1015" spans="1:20" x14ac:dyDescent="0.3">
      <c r="A1015">
        <v>1498053</v>
      </c>
      <c r="B1015" t="s">
        <v>4496</v>
      </c>
      <c r="D1015" t="s">
        <v>2547</v>
      </c>
      <c r="E1015" t="s">
        <v>2548</v>
      </c>
      <c r="F1015">
        <v>2017</v>
      </c>
      <c r="G1015" t="s">
        <v>3812</v>
      </c>
      <c r="H1015" t="s">
        <v>4497</v>
      </c>
      <c r="I1015" t="s">
        <v>4498</v>
      </c>
      <c r="J1015" t="s">
        <v>596</v>
      </c>
      <c r="K1015" t="s">
        <v>25</v>
      </c>
      <c r="L1015" t="b">
        <v>1</v>
      </c>
      <c r="M1015" t="s">
        <v>4499</v>
      </c>
      <c r="N1015" t="str">
        <f>"342.4506"</f>
        <v>342.4506</v>
      </c>
      <c r="O1015" t="s">
        <v>4423</v>
      </c>
      <c r="P1015" t="b">
        <v>0</v>
      </c>
      <c r="Q1015" t="b">
        <v>0</v>
      </c>
      <c r="S1015" t="str">
        <f>"9788892164970"</f>
        <v>9788892164970</v>
      </c>
      <c r="T1015">
        <v>999306977</v>
      </c>
    </row>
    <row r="1016" spans="1:20" x14ac:dyDescent="0.3">
      <c r="A1016">
        <v>1498048</v>
      </c>
      <c r="B1016" t="s">
        <v>4500</v>
      </c>
      <c r="C1016" t="s">
        <v>4501</v>
      </c>
      <c r="D1016" t="s">
        <v>2547</v>
      </c>
      <c r="E1016" t="s">
        <v>2548</v>
      </c>
      <c r="F1016">
        <v>2016</v>
      </c>
      <c r="G1016" t="s">
        <v>1468</v>
      </c>
      <c r="H1016" t="s">
        <v>4502</v>
      </c>
      <c r="I1016" t="s">
        <v>4503</v>
      </c>
      <c r="J1016" t="s">
        <v>596</v>
      </c>
      <c r="K1016" t="s">
        <v>25</v>
      </c>
      <c r="L1016" t="b">
        <v>1</v>
      </c>
      <c r="M1016" t="s">
        <v>4504</v>
      </c>
      <c r="N1016" t="str">
        <f>"346.45016"</f>
        <v>346.45016</v>
      </c>
      <c r="O1016" t="s">
        <v>4505</v>
      </c>
      <c r="P1016" t="b">
        <v>0</v>
      </c>
      <c r="Q1016" t="b">
        <v>0</v>
      </c>
      <c r="S1016" t="str">
        <f>"9788892164611"</f>
        <v>9788892164611</v>
      </c>
      <c r="T1016">
        <v>982452103</v>
      </c>
    </row>
    <row r="1017" spans="1:20" x14ac:dyDescent="0.3">
      <c r="A1017">
        <v>1498046</v>
      </c>
      <c r="B1017" t="s">
        <v>4506</v>
      </c>
      <c r="C1017" t="s">
        <v>4507</v>
      </c>
      <c r="D1017" t="s">
        <v>2547</v>
      </c>
      <c r="E1017" t="s">
        <v>2548</v>
      </c>
      <c r="F1017">
        <v>2017</v>
      </c>
      <c r="G1017" t="s">
        <v>1468</v>
      </c>
      <c r="H1017" t="s">
        <v>4508</v>
      </c>
      <c r="I1017" t="s">
        <v>4509</v>
      </c>
      <c r="J1017" t="s">
        <v>596</v>
      </c>
      <c r="K1017" t="s">
        <v>269</v>
      </c>
      <c r="L1017" t="b">
        <v>1</v>
      </c>
      <c r="M1017" t="s">
        <v>4510</v>
      </c>
      <c r="N1017" t="str">
        <f>"344.45046"</f>
        <v>344.45046</v>
      </c>
      <c r="P1017" t="b">
        <v>0</v>
      </c>
      <c r="Q1017" t="b">
        <v>0</v>
      </c>
      <c r="S1017" t="str">
        <f>"9788892164574"</f>
        <v>9788892164574</v>
      </c>
      <c r="T1017">
        <v>987014342</v>
      </c>
    </row>
    <row r="1018" spans="1:20" x14ac:dyDescent="0.3">
      <c r="A1018">
        <v>1498039</v>
      </c>
      <c r="B1018" t="s">
        <v>4511</v>
      </c>
      <c r="C1018" t="s">
        <v>4512</v>
      </c>
      <c r="D1018" t="s">
        <v>2547</v>
      </c>
      <c r="E1018" t="s">
        <v>2548</v>
      </c>
      <c r="F1018">
        <v>2017</v>
      </c>
      <c r="G1018" t="s">
        <v>1468</v>
      </c>
      <c r="H1018" t="s">
        <v>4513</v>
      </c>
      <c r="I1018" t="s">
        <v>4514</v>
      </c>
      <c r="J1018" t="s">
        <v>596</v>
      </c>
      <c r="K1018" t="s">
        <v>25</v>
      </c>
      <c r="L1018" t="b">
        <v>1</v>
      </c>
      <c r="M1018" t="s">
        <v>4515</v>
      </c>
      <c r="N1018" t="str">
        <f>"346.4507"</f>
        <v>346.4507</v>
      </c>
      <c r="P1018" t="b">
        <v>0</v>
      </c>
      <c r="Q1018" t="b">
        <v>0</v>
      </c>
      <c r="S1018" t="str">
        <f>"9788892163096"</f>
        <v>9788892163096</v>
      </c>
      <c r="T1018">
        <v>982451736</v>
      </c>
    </row>
    <row r="1019" spans="1:20" x14ac:dyDescent="0.3">
      <c r="A1019">
        <v>1498037</v>
      </c>
      <c r="B1019" t="s">
        <v>4516</v>
      </c>
      <c r="D1019" t="s">
        <v>2547</v>
      </c>
      <c r="E1019" t="s">
        <v>2548</v>
      </c>
      <c r="F1019">
        <v>2016</v>
      </c>
      <c r="G1019" t="s">
        <v>1468</v>
      </c>
      <c r="H1019" t="s">
        <v>2734</v>
      </c>
      <c r="I1019" t="s">
        <v>2735</v>
      </c>
      <c r="J1019" t="s">
        <v>596</v>
      </c>
      <c r="K1019" t="s">
        <v>25</v>
      </c>
      <c r="L1019" t="b">
        <v>1</v>
      </c>
      <c r="M1019" t="s">
        <v>4517</v>
      </c>
      <c r="N1019" t="str">
        <f>"344"</f>
        <v>344</v>
      </c>
      <c r="O1019" t="s">
        <v>4518</v>
      </c>
      <c r="P1019" t="b">
        <v>0</v>
      </c>
      <c r="Q1019" t="b">
        <v>0</v>
      </c>
      <c r="S1019" t="str">
        <f>"9788892162914"</f>
        <v>9788892162914</v>
      </c>
      <c r="T1019">
        <v>982452158</v>
      </c>
    </row>
    <row r="1020" spans="1:20" x14ac:dyDescent="0.3">
      <c r="A1020">
        <v>1498036</v>
      </c>
      <c r="B1020" t="s">
        <v>4519</v>
      </c>
      <c r="D1020" t="s">
        <v>2547</v>
      </c>
      <c r="E1020" t="s">
        <v>2548</v>
      </c>
      <c r="F1020">
        <v>2016</v>
      </c>
      <c r="G1020" t="s">
        <v>1468</v>
      </c>
      <c r="H1020" t="s">
        <v>4038</v>
      </c>
      <c r="I1020" t="s">
        <v>4520</v>
      </c>
      <c r="J1020" t="s">
        <v>580</v>
      </c>
      <c r="K1020" t="s">
        <v>25</v>
      </c>
      <c r="L1020" t="b">
        <v>1</v>
      </c>
      <c r="M1020" t="s">
        <v>4521</v>
      </c>
      <c r="N1020" t="str">
        <f>"344"</f>
        <v>344</v>
      </c>
      <c r="O1020" t="s">
        <v>4522</v>
      </c>
      <c r="P1020" t="b">
        <v>0</v>
      </c>
      <c r="Q1020" t="b">
        <v>0</v>
      </c>
      <c r="S1020" t="str">
        <f>"9788892162303"</f>
        <v>9788892162303</v>
      </c>
      <c r="T1020">
        <v>982450943</v>
      </c>
    </row>
    <row r="1021" spans="1:20" x14ac:dyDescent="0.3">
      <c r="A1021">
        <v>1498035</v>
      </c>
      <c r="B1021" t="s">
        <v>4523</v>
      </c>
      <c r="C1021" t="s">
        <v>4524</v>
      </c>
      <c r="D1021" t="s">
        <v>2547</v>
      </c>
      <c r="E1021" t="s">
        <v>2548</v>
      </c>
      <c r="F1021">
        <v>2017</v>
      </c>
      <c r="G1021" t="s">
        <v>2549</v>
      </c>
      <c r="H1021" t="s">
        <v>4033</v>
      </c>
      <c r="I1021" t="s">
        <v>4034</v>
      </c>
      <c r="J1021" t="s">
        <v>596</v>
      </c>
      <c r="K1021" t="s">
        <v>25</v>
      </c>
      <c r="L1021" t="b">
        <v>1</v>
      </c>
      <c r="M1021" t="s">
        <v>4525</v>
      </c>
      <c r="N1021" t="str">
        <f>"343.45014"</f>
        <v>343.45014</v>
      </c>
      <c r="P1021" t="b">
        <v>0</v>
      </c>
      <c r="Q1021" t="b">
        <v>0</v>
      </c>
      <c r="S1021" t="str">
        <f>"9788892161894"</f>
        <v>9788892161894</v>
      </c>
      <c r="T1021">
        <v>987024897</v>
      </c>
    </row>
    <row r="1022" spans="1:20" x14ac:dyDescent="0.3">
      <c r="A1022">
        <v>1497883</v>
      </c>
      <c r="B1022" t="s">
        <v>4526</v>
      </c>
      <c r="C1022" t="s">
        <v>4527</v>
      </c>
      <c r="D1022" t="s">
        <v>3304</v>
      </c>
      <c r="E1022" t="s">
        <v>3305</v>
      </c>
      <c r="F1022">
        <v>2017</v>
      </c>
      <c r="G1022" t="s">
        <v>889</v>
      </c>
      <c r="H1022" t="s">
        <v>4528</v>
      </c>
      <c r="I1022" t="s">
        <v>4529</v>
      </c>
      <c r="J1022" t="s">
        <v>24</v>
      </c>
      <c r="K1022" t="s">
        <v>55</v>
      </c>
      <c r="L1022" t="b">
        <v>1</v>
      </c>
      <c r="M1022" t="s">
        <v>4530</v>
      </c>
      <c r="N1022" t="str">
        <f>"362.1089/97071"</f>
        <v>362.1089/97071</v>
      </c>
      <c r="P1022" t="b">
        <v>0</v>
      </c>
      <c r="R1022" t="str">
        <f>"9781772031645"</f>
        <v>9781772031645</v>
      </c>
      <c r="S1022" t="str">
        <f>"9781772031652"</f>
        <v>9781772031652</v>
      </c>
      <c r="T1022">
        <v>985313945</v>
      </c>
    </row>
    <row r="1023" spans="1:20" x14ac:dyDescent="0.3">
      <c r="A1023">
        <v>1497464</v>
      </c>
      <c r="B1023" t="s">
        <v>4531</v>
      </c>
      <c r="D1023" t="s">
        <v>4532</v>
      </c>
      <c r="E1023" t="s">
        <v>4533</v>
      </c>
      <c r="F1023">
        <v>2016</v>
      </c>
      <c r="J1023" t="s">
        <v>580</v>
      </c>
      <c r="K1023" t="s">
        <v>25</v>
      </c>
      <c r="L1023" t="b">
        <v>1</v>
      </c>
      <c r="M1023" t="s">
        <v>4534</v>
      </c>
      <c r="P1023" t="b">
        <v>0</v>
      </c>
      <c r="Q1023" t="b">
        <v>0</v>
      </c>
      <c r="S1023" t="str">
        <f>"9788416982134"</f>
        <v>9788416982134</v>
      </c>
    </row>
    <row r="1024" spans="1:20" x14ac:dyDescent="0.3">
      <c r="A1024">
        <v>1497356</v>
      </c>
      <c r="B1024" t="s">
        <v>4535</v>
      </c>
      <c r="D1024" t="s">
        <v>4536</v>
      </c>
      <c r="E1024" t="s">
        <v>4537</v>
      </c>
      <c r="F1024">
        <v>2017</v>
      </c>
      <c r="G1024" t="s">
        <v>3592</v>
      </c>
      <c r="H1024" t="s">
        <v>4538</v>
      </c>
      <c r="I1024" t="s">
        <v>4539</v>
      </c>
      <c r="J1024" t="s">
        <v>24</v>
      </c>
      <c r="K1024" t="s">
        <v>25</v>
      </c>
      <c r="L1024" t="b">
        <v>1</v>
      </c>
      <c r="M1024" t="s">
        <v>4540</v>
      </c>
      <c r="N1024" t="str">
        <f>"150.195092"</f>
        <v>150.195092</v>
      </c>
      <c r="O1024" t="s">
        <v>4541</v>
      </c>
      <c r="P1024" t="b">
        <v>0</v>
      </c>
      <c r="R1024" t="str">
        <f>"9781782204657"</f>
        <v>9781782204657</v>
      </c>
      <c r="S1024" t="str">
        <f>"9781782415381"</f>
        <v>9781782415381</v>
      </c>
      <c r="T1024">
        <v>982011825</v>
      </c>
    </row>
    <row r="1025" spans="1:20" x14ac:dyDescent="0.3">
      <c r="A1025">
        <v>1497265</v>
      </c>
      <c r="B1025" t="s">
        <v>4542</v>
      </c>
      <c r="C1025" t="s">
        <v>4543</v>
      </c>
      <c r="D1025" t="s">
        <v>4544</v>
      </c>
      <c r="E1025" t="s">
        <v>4545</v>
      </c>
      <c r="F1025">
        <v>2017</v>
      </c>
      <c r="G1025" t="s">
        <v>4546</v>
      </c>
      <c r="H1025" t="s">
        <v>4547</v>
      </c>
      <c r="J1025" t="s">
        <v>24</v>
      </c>
      <c r="K1025" t="s">
        <v>25</v>
      </c>
      <c r="L1025" t="b">
        <v>1</v>
      </c>
      <c r="M1025" t="s">
        <v>4548</v>
      </c>
      <c r="N1025" t="str">
        <f>"741.2"</f>
        <v>741.2</v>
      </c>
      <c r="O1025" t="s">
        <v>4549</v>
      </c>
      <c r="P1025" t="b">
        <v>0</v>
      </c>
      <c r="R1025" t="str">
        <f>"9781631591228"</f>
        <v>9781631591228</v>
      </c>
      <c r="S1025" t="str">
        <f>"9781631594137"</f>
        <v>9781631594137</v>
      </c>
      <c r="T1025">
        <v>982017547</v>
      </c>
    </row>
    <row r="1026" spans="1:20" x14ac:dyDescent="0.3">
      <c r="A1026">
        <v>1497109</v>
      </c>
      <c r="B1026" t="s">
        <v>4550</v>
      </c>
      <c r="D1026" t="s">
        <v>45</v>
      </c>
      <c r="E1026" t="s">
        <v>318</v>
      </c>
      <c r="F1026">
        <v>2017</v>
      </c>
      <c r="G1026" t="s">
        <v>4551</v>
      </c>
      <c r="J1026" t="s">
        <v>24</v>
      </c>
      <c r="K1026" t="s">
        <v>269</v>
      </c>
      <c r="L1026" t="b">
        <v>1</v>
      </c>
      <c r="M1026" t="s">
        <v>4552</v>
      </c>
      <c r="O1026" t="s">
        <v>4553</v>
      </c>
      <c r="P1026" t="b">
        <v>0</v>
      </c>
      <c r="R1026" t="str">
        <f>"9783110446166"</f>
        <v>9783110446166</v>
      </c>
      <c r="S1026" t="str">
        <f>"9783110436181"</f>
        <v>9783110436181</v>
      </c>
    </row>
    <row r="1027" spans="1:20" x14ac:dyDescent="0.3">
      <c r="A1027">
        <v>1497108</v>
      </c>
      <c r="B1027" t="s">
        <v>4554</v>
      </c>
      <c r="D1027" t="s">
        <v>45</v>
      </c>
      <c r="E1027" t="s">
        <v>313</v>
      </c>
      <c r="F1027">
        <v>2017</v>
      </c>
      <c r="G1027" t="s">
        <v>314</v>
      </c>
      <c r="J1027" t="s">
        <v>24</v>
      </c>
      <c r="K1027" t="s">
        <v>269</v>
      </c>
      <c r="L1027" t="b">
        <v>1</v>
      </c>
      <c r="M1027" t="s">
        <v>4555</v>
      </c>
      <c r="O1027" t="s">
        <v>4556</v>
      </c>
      <c r="P1027" t="b">
        <v>0</v>
      </c>
      <c r="R1027" t="str">
        <f>"9783110439700"</f>
        <v>9783110439700</v>
      </c>
      <c r="S1027" t="str">
        <f>"9783110431094"</f>
        <v>9783110431094</v>
      </c>
    </row>
    <row r="1028" spans="1:20" x14ac:dyDescent="0.3">
      <c r="A1028">
        <v>1497098</v>
      </c>
      <c r="B1028" t="s">
        <v>4557</v>
      </c>
      <c r="C1028" t="s">
        <v>4558</v>
      </c>
      <c r="D1028" t="s">
        <v>45</v>
      </c>
      <c r="E1028" t="s">
        <v>45</v>
      </c>
      <c r="F1028">
        <v>2017</v>
      </c>
      <c r="G1028" t="s">
        <v>1842</v>
      </c>
      <c r="H1028" t="s">
        <v>4559</v>
      </c>
      <c r="I1028" t="s">
        <v>4560</v>
      </c>
      <c r="J1028" t="s">
        <v>24</v>
      </c>
      <c r="K1028" t="s">
        <v>269</v>
      </c>
      <c r="L1028" t="b">
        <v>1</v>
      </c>
      <c r="M1028" t="s">
        <v>4561</v>
      </c>
      <c r="N1028" t="str">
        <f>"809.9"</f>
        <v>809.9</v>
      </c>
      <c r="O1028" t="s">
        <v>4562</v>
      </c>
      <c r="P1028" t="b">
        <v>0</v>
      </c>
      <c r="R1028" t="str">
        <f>"9783110523294"</f>
        <v>9783110523294</v>
      </c>
      <c r="S1028" t="str">
        <f>"9783110523386"</f>
        <v>9783110523386</v>
      </c>
      <c r="T1028">
        <v>980790650</v>
      </c>
    </row>
    <row r="1029" spans="1:20" x14ac:dyDescent="0.3">
      <c r="A1029">
        <v>1497089</v>
      </c>
      <c r="B1029" t="s">
        <v>4563</v>
      </c>
      <c r="D1029" t="s">
        <v>45</v>
      </c>
      <c r="E1029" t="s">
        <v>313</v>
      </c>
      <c r="F1029">
        <v>2017</v>
      </c>
      <c r="G1029" t="s">
        <v>314</v>
      </c>
      <c r="J1029" t="s">
        <v>24</v>
      </c>
      <c r="K1029" t="s">
        <v>269</v>
      </c>
      <c r="L1029" t="b">
        <v>1</v>
      </c>
      <c r="M1029" t="s">
        <v>4564</v>
      </c>
      <c r="O1029" t="s">
        <v>4565</v>
      </c>
      <c r="P1029" t="b">
        <v>0</v>
      </c>
      <c r="R1029" t="str">
        <f>"9783110474961"</f>
        <v>9783110474961</v>
      </c>
      <c r="S1029" t="str">
        <f>"9783110475067"</f>
        <v>9783110475067</v>
      </c>
    </row>
    <row r="1030" spans="1:20" x14ac:dyDescent="0.3">
      <c r="A1030">
        <v>1497069</v>
      </c>
      <c r="B1030" t="s">
        <v>4566</v>
      </c>
      <c r="D1030" t="s">
        <v>4567</v>
      </c>
      <c r="E1030" t="s">
        <v>4568</v>
      </c>
      <c r="F1030">
        <v>2016</v>
      </c>
      <c r="G1030" t="s">
        <v>4221</v>
      </c>
      <c r="H1030" t="s">
        <v>4569</v>
      </c>
      <c r="I1030" t="s">
        <v>4570</v>
      </c>
      <c r="J1030" t="s">
        <v>543</v>
      </c>
      <c r="K1030" t="s">
        <v>25</v>
      </c>
      <c r="L1030" t="b">
        <v>1</v>
      </c>
      <c r="M1030" t="s">
        <v>4571</v>
      </c>
      <c r="N1030" t="str">
        <f>"370.113"</f>
        <v>370.113</v>
      </c>
      <c r="O1030" t="s">
        <v>4572</v>
      </c>
      <c r="P1030" t="b">
        <v>0</v>
      </c>
      <c r="R1030" t="str">
        <f>"9782847888430"</f>
        <v>9782847888430</v>
      </c>
      <c r="S1030" t="str">
        <f>"9782847888447"</f>
        <v>9782847888447</v>
      </c>
      <c r="T1030">
        <v>981487569</v>
      </c>
    </row>
    <row r="1031" spans="1:20" x14ac:dyDescent="0.3">
      <c r="A1031">
        <v>1497068</v>
      </c>
      <c r="B1031" t="s">
        <v>4573</v>
      </c>
      <c r="D1031" t="s">
        <v>4567</v>
      </c>
      <c r="E1031" t="s">
        <v>4568</v>
      </c>
      <c r="F1031">
        <v>2016</v>
      </c>
      <c r="G1031" t="s">
        <v>60</v>
      </c>
      <c r="H1031" t="s">
        <v>4574</v>
      </c>
      <c r="I1031" t="s">
        <v>4575</v>
      </c>
      <c r="J1031" t="s">
        <v>543</v>
      </c>
      <c r="K1031" t="s">
        <v>25</v>
      </c>
      <c r="L1031" t="b">
        <v>1</v>
      </c>
      <c r="M1031" t="s">
        <v>4576</v>
      </c>
      <c r="N1031" t="str">
        <f>"305"</f>
        <v>305</v>
      </c>
      <c r="O1031" t="s">
        <v>4577</v>
      </c>
      <c r="P1031" t="b">
        <v>0</v>
      </c>
      <c r="R1031" t="str">
        <f>"9782847888409"</f>
        <v>9782847888409</v>
      </c>
      <c r="S1031" t="str">
        <f>"9782847888416"</f>
        <v>9782847888416</v>
      </c>
      <c r="T1031">
        <v>981488388</v>
      </c>
    </row>
    <row r="1032" spans="1:20" x14ac:dyDescent="0.3">
      <c r="A1032">
        <v>1497065</v>
      </c>
      <c r="B1032" t="s">
        <v>4578</v>
      </c>
      <c r="D1032" t="s">
        <v>4567</v>
      </c>
      <c r="E1032" t="s">
        <v>4568</v>
      </c>
      <c r="F1032">
        <v>2016</v>
      </c>
      <c r="G1032" t="s">
        <v>60</v>
      </c>
      <c r="H1032" t="s">
        <v>4579</v>
      </c>
      <c r="I1032" t="s">
        <v>4580</v>
      </c>
      <c r="J1032" t="s">
        <v>543</v>
      </c>
      <c r="K1032" t="s">
        <v>25</v>
      </c>
      <c r="L1032" t="b">
        <v>1</v>
      </c>
      <c r="M1032" t="s">
        <v>4581</v>
      </c>
      <c r="N1032" t="str">
        <f>"910.7204"</f>
        <v>910.7204</v>
      </c>
      <c r="O1032" t="s">
        <v>4582</v>
      </c>
      <c r="P1032" t="b">
        <v>0</v>
      </c>
      <c r="R1032" t="str">
        <f>"9782847888195"</f>
        <v>9782847888195</v>
      </c>
      <c r="S1032" t="str">
        <f>"9782847888201"</f>
        <v>9782847888201</v>
      </c>
      <c r="T1032">
        <v>981488746</v>
      </c>
    </row>
    <row r="1033" spans="1:20" x14ac:dyDescent="0.3">
      <c r="A1033">
        <v>1497063</v>
      </c>
      <c r="B1033" t="s">
        <v>4583</v>
      </c>
      <c r="D1033" t="s">
        <v>4567</v>
      </c>
      <c r="E1033" t="s">
        <v>4568</v>
      </c>
      <c r="F1033">
        <v>2016</v>
      </c>
      <c r="G1033" t="s">
        <v>287</v>
      </c>
      <c r="H1033" t="s">
        <v>4584</v>
      </c>
      <c r="I1033" t="s">
        <v>4585</v>
      </c>
      <c r="J1033" t="s">
        <v>543</v>
      </c>
      <c r="K1033" t="s">
        <v>25</v>
      </c>
      <c r="L1033" t="b">
        <v>1</v>
      </c>
      <c r="M1033" t="s">
        <v>4586</v>
      </c>
      <c r="N1033" t="str">
        <f>"100"</f>
        <v>100</v>
      </c>
      <c r="O1033" t="s">
        <v>4587</v>
      </c>
      <c r="P1033" t="b">
        <v>0</v>
      </c>
      <c r="R1033" t="str">
        <f>"9782847888102"</f>
        <v>9782847888102</v>
      </c>
      <c r="S1033" t="str">
        <f>"9782847888119"</f>
        <v>9782847888119</v>
      </c>
      <c r="T1033">
        <v>981464000</v>
      </c>
    </row>
    <row r="1034" spans="1:20" x14ac:dyDescent="0.3">
      <c r="A1034">
        <v>1497061</v>
      </c>
      <c r="B1034" t="s">
        <v>4588</v>
      </c>
      <c r="C1034" t="s">
        <v>4589</v>
      </c>
      <c r="D1034" t="s">
        <v>4567</v>
      </c>
      <c r="E1034" t="s">
        <v>4568</v>
      </c>
      <c r="F1034">
        <v>2016</v>
      </c>
      <c r="G1034" t="s">
        <v>97</v>
      </c>
      <c r="H1034" t="s">
        <v>4590</v>
      </c>
      <c r="I1034" t="s">
        <v>4591</v>
      </c>
      <c r="J1034" t="s">
        <v>543</v>
      </c>
      <c r="K1034" t="s">
        <v>25</v>
      </c>
      <c r="L1034" t="b">
        <v>1</v>
      </c>
      <c r="M1034" t="s">
        <v>4592</v>
      </c>
      <c r="N1034" t="str">
        <f>"326/.8/0922757;B"</f>
        <v>326/.8/0922757;B</v>
      </c>
      <c r="O1034" t="s">
        <v>4593</v>
      </c>
      <c r="P1034" t="b">
        <v>0</v>
      </c>
      <c r="S1034" t="str">
        <f>"9782847888027"</f>
        <v>9782847888027</v>
      </c>
      <c r="T1034">
        <v>981463469</v>
      </c>
    </row>
    <row r="1035" spans="1:20" x14ac:dyDescent="0.3">
      <c r="A1035">
        <v>1497060</v>
      </c>
      <c r="B1035" t="s">
        <v>4594</v>
      </c>
      <c r="D1035" t="s">
        <v>4567</v>
      </c>
      <c r="E1035" t="s">
        <v>4568</v>
      </c>
      <c r="F1035">
        <v>2016</v>
      </c>
      <c r="G1035" t="s">
        <v>378</v>
      </c>
      <c r="H1035" t="s">
        <v>4595</v>
      </c>
      <c r="I1035" t="s">
        <v>4596</v>
      </c>
      <c r="J1035" t="s">
        <v>543</v>
      </c>
      <c r="K1035" t="s">
        <v>25</v>
      </c>
      <c r="L1035" t="b">
        <v>1</v>
      </c>
      <c r="M1035" t="s">
        <v>4597</v>
      </c>
      <c r="N1035" t="str">
        <f>"791.43028092"</f>
        <v>791.43028092</v>
      </c>
      <c r="O1035" t="s">
        <v>4598</v>
      </c>
      <c r="P1035" t="b">
        <v>0</v>
      </c>
      <c r="R1035" t="str">
        <f>"9782847888041"</f>
        <v>9782847888041</v>
      </c>
      <c r="S1035" t="str">
        <f>"9782847888058"</f>
        <v>9782847888058</v>
      </c>
      <c r="T1035">
        <v>981464069</v>
      </c>
    </row>
    <row r="1036" spans="1:20" x14ac:dyDescent="0.3">
      <c r="A1036">
        <v>1497059</v>
      </c>
      <c r="B1036" t="s">
        <v>4599</v>
      </c>
      <c r="D1036" t="s">
        <v>4567</v>
      </c>
      <c r="E1036" t="s">
        <v>4568</v>
      </c>
      <c r="F1036">
        <v>2016</v>
      </c>
      <c r="G1036" t="s">
        <v>4221</v>
      </c>
      <c r="H1036" t="s">
        <v>4600</v>
      </c>
      <c r="I1036" t="s">
        <v>4601</v>
      </c>
      <c r="J1036" t="s">
        <v>543</v>
      </c>
      <c r="K1036" t="s">
        <v>25</v>
      </c>
      <c r="L1036" t="b">
        <v>1</v>
      </c>
      <c r="M1036" t="s">
        <v>4602</v>
      </c>
      <c r="N1036" t="str">
        <f>"379.44"</f>
        <v>379.44</v>
      </c>
      <c r="O1036" t="s">
        <v>4572</v>
      </c>
      <c r="P1036" t="b">
        <v>0</v>
      </c>
      <c r="R1036" t="str">
        <f>"9782847887952"</f>
        <v>9782847887952</v>
      </c>
      <c r="S1036" t="str">
        <f>"9782847887969"</f>
        <v>9782847887969</v>
      </c>
      <c r="T1036">
        <v>981489052</v>
      </c>
    </row>
    <row r="1037" spans="1:20" x14ac:dyDescent="0.3">
      <c r="A1037">
        <v>1497056</v>
      </c>
      <c r="B1037" t="s">
        <v>4603</v>
      </c>
      <c r="C1037" t="s">
        <v>4604</v>
      </c>
      <c r="D1037" t="s">
        <v>4567</v>
      </c>
      <c r="E1037" t="s">
        <v>4568</v>
      </c>
      <c r="F1037">
        <v>2016</v>
      </c>
      <c r="G1037" t="s">
        <v>4605</v>
      </c>
      <c r="H1037" t="s">
        <v>4606</v>
      </c>
      <c r="I1037" t="s">
        <v>4607</v>
      </c>
      <c r="J1037" t="s">
        <v>543</v>
      </c>
      <c r="K1037" t="s">
        <v>25</v>
      </c>
      <c r="L1037" t="b">
        <v>1</v>
      </c>
      <c r="M1037" t="s">
        <v>4608</v>
      </c>
      <c r="N1037" t="str">
        <f>"338.4/791597"</f>
        <v>338.4/791597</v>
      </c>
      <c r="O1037" t="s">
        <v>4609</v>
      </c>
      <c r="P1037" t="b">
        <v>0</v>
      </c>
      <c r="R1037" t="str">
        <f>"9782847887785"</f>
        <v>9782847887785</v>
      </c>
      <c r="S1037" t="str">
        <f>"9782847887808"</f>
        <v>9782847887808</v>
      </c>
      <c r="T1037">
        <v>981464023</v>
      </c>
    </row>
    <row r="1038" spans="1:20" x14ac:dyDescent="0.3">
      <c r="A1038">
        <v>1497001</v>
      </c>
      <c r="B1038" t="s">
        <v>4610</v>
      </c>
      <c r="D1038" t="s">
        <v>2685</v>
      </c>
      <c r="E1038" t="s">
        <v>2685</v>
      </c>
      <c r="F1038">
        <v>2017</v>
      </c>
      <c r="J1038" t="s">
        <v>580</v>
      </c>
      <c r="K1038" t="s">
        <v>269</v>
      </c>
      <c r="L1038" t="b">
        <v>1</v>
      </c>
      <c r="M1038" t="s">
        <v>4611</v>
      </c>
      <c r="P1038" t="b">
        <v>0</v>
      </c>
      <c r="S1038" t="str">
        <f>"9786078528127"</f>
        <v>9786078528127</v>
      </c>
    </row>
    <row r="1039" spans="1:20" x14ac:dyDescent="0.3">
      <c r="A1039">
        <v>1497000</v>
      </c>
      <c r="B1039" t="s">
        <v>4612</v>
      </c>
      <c r="D1039" t="s">
        <v>2685</v>
      </c>
      <c r="E1039" t="s">
        <v>2685</v>
      </c>
      <c r="F1039">
        <v>2017</v>
      </c>
      <c r="J1039" t="s">
        <v>580</v>
      </c>
      <c r="K1039" t="s">
        <v>269</v>
      </c>
      <c r="L1039" t="b">
        <v>1</v>
      </c>
      <c r="M1039" t="s">
        <v>4613</v>
      </c>
      <c r="P1039" t="b">
        <v>0</v>
      </c>
      <c r="S1039" t="str">
        <f>"9786078528097"</f>
        <v>9786078528097</v>
      </c>
    </row>
    <row r="1040" spans="1:20" x14ac:dyDescent="0.3">
      <c r="A1040">
        <v>1496999</v>
      </c>
      <c r="B1040" t="s">
        <v>4614</v>
      </c>
      <c r="D1040" t="s">
        <v>2685</v>
      </c>
      <c r="E1040" t="s">
        <v>2685</v>
      </c>
      <c r="F1040">
        <v>2017</v>
      </c>
      <c r="J1040" t="s">
        <v>580</v>
      </c>
      <c r="K1040" t="s">
        <v>269</v>
      </c>
      <c r="L1040" t="b">
        <v>1</v>
      </c>
      <c r="M1040" t="s">
        <v>4615</v>
      </c>
      <c r="P1040" t="b">
        <v>0</v>
      </c>
      <c r="S1040" t="str">
        <f>"9786078528066"</f>
        <v>9786078528066</v>
      </c>
    </row>
    <row r="1041" spans="1:20" x14ac:dyDescent="0.3">
      <c r="A1041">
        <v>1496998</v>
      </c>
      <c r="B1041" t="s">
        <v>4616</v>
      </c>
      <c r="D1041" t="s">
        <v>2685</v>
      </c>
      <c r="E1041" t="s">
        <v>2685</v>
      </c>
      <c r="F1041">
        <v>2017</v>
      </c>
      <c r="J1041" t="s">
        <v>580</v>
      </c>
      <c r="K1041" t="s">
        <v>269</v>
      </c>
      <c r="L1041" t="b">
        <v>1</v>
      </c>
      <c r="M1041" t="s">
        <v>4617</v>
      </c>
      <c r="P1041" t="b">
        <v>0</v>
      </c>
      <c r="S1041" t="str">
        <f>"9786078528035"</f>
        <v>9786078528035</v>
      </c>
    </row>
    <row r="1042" spans="1:20" x14ac:dyDescent="0.3">
      <c r="A1042">
        <v>1496896</v>
      </c>
      <c r="B1042" t="s">
        <v>4618</v>
      </c>
      <c r="C1042" t="s">
        <v>4619</v>
      </c>
      <c r="D1042" t="s">
        <v>4620</v>
      </c>
      <c r="E1042" t="s">
        <v>4621</v>
      </c>
      <c r="F1042">
        <v>2017</v>
      </c>
      <c r="G1042" t="s">
        <v>4622</v>
      </c>
      <c r="H1042" t="s">
        <v>4623</v>
      </c>
      <c r="I1042" t="s">
        <v>4624</v>
      </c>
      <c r="J1042" t="s">
        <v>854</v>
      </c>
      <c r="K1042" t="s">
        <v>25</v>
      </c>
      <c r="L1042" t="b">
        <v>1</v>
      </c>
      <c r="M1042" t="s">
        <v>4625</v>
      </c>
      <c r="N1042" t="str">
        <f>"780.92/2"</f>
        <v>780.92/2</v>
      </c>
      <c r="P1042" t="b">
        <v>0</v>
      </c>
      <c r="Q1042" t="b">
        <v>0</v>
      </c>
      <c r="R1042" t="str">
        <f>"9788072905393"</f>
        <v>9788072905393</v>
      </c>
      <c r="S1042" t="str">
        <f>"9788072909070"</f>
        <v>9788072909070</v>
      </c>
      <c r="T1042">
        <v>982605221</v>
      </c>
    </row>
    <row r="1043" spans="1:20" x14ac:dyDescent="0.3">
      <c r="A1043">
        <v>1496861</v>
      </c>
      <c r="B1043" t="s">
        <v>4626</v>
      </c>
      <c r="D1043" t="s">
        <v>3080</v>
      </c>
      <c r="E1043" t="s">
        <v>4627</v>
      </c>
      <c r="F1043">
        <v>2017</v>
      </c>
      <c r="G1043" t="s">
        <v>1439</v>
      </c>
      <c r="H1043" t="s">
        <v>4628</v>
      </c>
      <c r="J1043" t="s">
        <v>24</v>
      </c>
      <c r="K1043" t="s">
        <v>269</v>
      </c>
      <c r="L1043" t="b">
        <v>1</v>
      </c>
      <c r="M1043" t="s">
        <v>4629</v>
      </c>
      <c r="N1043" t="str">
        <f>"959.9047"</f>
        <v>959.9047</v>
      </c>
      <c r="P1043" t="b">
        <v>0</v>
      </c>
      <c r="Q1043" t="b">
        <v>0</v>
      </c>
      <c r="R1043" t="str">
        <f>"9781845198664"</f>
        <v>9781845198664</v>
      </c>
      <c r="S1043" t="str">
        <f>"9781782844082"</f>
        <v>9781782844082</v>
      </c>
      <c r="T1043">
        <v>981463464</v>
      </c>
    </row>
    <row r="1044" spans="1:20" x14ac:dyDescent="0.3">
      <c r="A1044">
        <v>1496859</v>
      </c>
      <c r="B1044" t="s">
        <v>4630</v>
      </c>
      <c r="C1044" t="s">
        <v>4631</v>
      </c>
      <c r="D1044" t="s">
        <v>3080</v>
      </c>
      <c r="E1044" t="s">
        <v>4627</v>
      </c>
      <c r="F1044">
        <v>2017</v>
      </c>
      <c r="G1044" t="s">
        <v>4632</v>
      </c>
      <c r="H1044" t="s">
        <v>4633</v>
      </c>
      <c r="I1044" t="s">
        <v>4634</v>
      </c>
      <c r="J1044" t="s">
        <v>24</v>
      </c>
      <c r="K1044" t="s">
        <v>25</v>
      </c>
      <c r="L1044" t="b">
        <v>1</v>
      </c>
      <c r="M1044" t="s">
        <v>4635</v>
      </c>
      <c r="N1044" t="str">
        <f>"327.4690171/2469"</f>
        <v>327.4690171/2469</v>
      </c>
      <c r="O1044" t="s">
        <v>4636</v>
      </c>
      <c r="P1044" t="b">
        <v>0</v>
      </c>
      <c r="Q1044" t="b">
        <v>0</v>
      </c>
      <c r="R1044" t="str">
        <f>"9781845198596"</f>
        <v>9781845198596</v>
      </c>
      <c r="S1044" t="str">
        <f>"9781782844020"</f>
        <v>9781782844020</v>
      </c>
      <c r="T1044">
        <v>981464405</v>
      </c>
    </row>
    <row r="1045" spans="1:20" x14ac:dyDescent="0.3">
      <c r="A1045">
        <v>1496857</v>
      </c>
      <c r="B1045" t="s">
        <v>4637</v>
      </c>
      <c r="C1045" t="s">
        <v>4638</v>
      </c>
      <c r="D1045" t="s">
        <v>3080</v>
      </c>
      <c r="E1045" t="s">
        <v>4627</v>
      </c>
      <c r="F1045">
        <v>2017</v>
      </c>
      <c r="G1045" t="s">
        <v>3611</v>
      </c>
      <c r="H1045" t="s">
        <v>4639</v>
      </c>
      <c r="I1045" t="s">
        <v>4640</v>
      </c>
      <c r="J1045" t="s">
        <v>24</v>
      </c>
      <c r="K1045" t="s">
        <v>25</v>
      </c>
      <c r="L1045" t="b">
        <v>1</v>
      </c>
      <c r="M1045" t="s">
        <v>4641</v>
      </c>
      <c r="N1045" t="str">
        <f>"940.3/1"</f>
        <v>940.3/1</v>
      </c>
      <c r="P1045" t="b">
        <v>0</v>
      </c>
      <c r="Q1045" t="b">
        <v>0</v>
      </c>
      <c r="R1045" t="str">
        <f>"9781845198244"</f>
        <v>9781845198244</v>
      </c>
      <c r="S1045" t="str">
        <f>"9781782843931"</f>
        <v>9781782843931</v>
      </c>
      <c r="T1045">
        <v>981464774</v>
      </c>
    </row>
    <row r="1046" spans="1:20" x14ac:dyDescent="0.3">
      <c r="A1046">
        <v>1496854</v>
      </c>
      <c r="B1046" t="s">
        <v>4642</v>
      </c>
      <c r="D1046" t="s">
        <v>2597</v>
      </c>
      <c r="E1046" t="s">
        <v>2598</v>
      </c>
      <c r="F1046">
        <v>2017</v>
      </c>
      <c r="J1046" t="s">
        <v>24</v>
      </c>
      <c r="K1046" t="s">
        <v>25</v>
      </c>
      <c r="L1046" t="b">
        <v>1</v>
      </c>
      <c r="M1046" t="s">
        <v>4643</v>
      </c>
      <c r="P1046" t="b">
        <v>0</v>
      </c>
      <c r="R1046" t="str">
        <f>"9781475589238"</f>
        <v>9781475589238</v>
      </c>
      <c r="S1046" t="str">
        <f>"9781475589337"</f>
        <v>9781475589337</v>
      </c>
    </row>
    <row r="1047" spans="1:20" x14ac:dyDescent="0.3">
      <c r="A1047">
        <v>1496853</v>
      </c>
      <c r="B1047" t="s">
        <v>4644</v>
      </c>
      <c r="D1047" t="s">
        <v>2597</v>
      </c>
      <c r="E1047" t="s">
        <v>2598</v>
      </c>
      <c r="F1047">
        <v>2017</v>
      </c>
      <c r="J1047" t="s">
        <v>24</v>
      </c>
      <c r="K1047" t="s">
        <v>25</v>
      </c>
      <c r="L1047" t="b">
        <v>1</v>
      </c>
      <c r="M1047" t="s">
        <v>4645</v>
      </c>
      <c r="P1047" t="b">
        <v>0</v>
      </c>
      <c r="R1047" t="str">
        <f>"9781475589672"</f>
        <v>9781475589672</v>
      </c>
      <c r="S1047" t="str">
        <f>"9781475589863"</f>
        <v>9781475589863</v>
      </c>
    </row>
    <row r="1048" spans="1:20" x14ac:dyDescent="0.3">
      <c r="A1048">
        <v>1496850</v>
      </c>
      <c r="B1048" t="s">
        <v>4646</v>
      </c>
      <c r="D1048" t="s">
        <v>2597</v>
      </c>
      <c r="E1048" t="s">
        <v>2598</v>
      </c>
      <c r="F1048">
        <v>2017</v>
      </c>
      <c r="J1048" t="s">
        <v>24</v>
      </c>
      <c r="K1048" t="s">
        <v>25</v>
      </c>
      <c r="L1048" t="b">
        <v>1</v>
      </c>
      <c r="M1048" t="s">
        <v>4647</v>
      </c>
      <c r="P1048" t="b">
        <v>0</v>
      </c>
      <c r="R1048" t="str">
        <f>"9781475585988"</f>
        <v>9781475585988</v>
      </c>
      <c r="S1048" t="str">
        <f>"9781475586657"</f>
        <v>9781475586657</v>
      </c>
    </row>
    <row r="1049" spans="1:20" x14ac:dyDescent="0.3">
      <c r="A1049">
        <v>1496847</v>
      </c>
      <c r="B1049" t="s">
        <v>4648</v>
      </c>
      <c r="D1049" t="s">
        <v>2597</v>
      </c>
      <c r="E1049" t="s">
        <v>2598</v>
      </c>
      <c r="F1049">
        <v>2017</v>
      </c>
      <c r="J1049" t="s">
        <v>24</v>
      </c>
      <c r="K1049" t="s">
        <v>25</v>
      </c>
      <c r="L1049" t="b">
        <v>1</v>
      </c>
      <c r="M1049" t="s">
        <v>4649</v>
      </c>
      <c r="P1049" t="b">
        <v>0</v>
      </c>
      <c r="R1049" t="str">
        <f>"9781475586015"</f>
        <v>9781475586015</v>
      </c>
      <c r="S1049" t="str">
        <f>"9781475586053"</f>
        <v>9781475586053</v>
      </c>
    </row>
    <row r="1050" spans="1:20" x14ac:dyDescent="0.3">
      <c r="A1050">
        <v>1496844</v>
      </c>
      <c r="B1050" t="s">
        <v>4650</v>
      </c>
      <c r="D1050" t="s">
        <v>2597</v>
      </c>
      <c r="E1050" t="s">
        <v>2598</v>
      </c>
      <c r="F1050">
        <v>2017</v>
      </c>
      <c r="J1050" t="s">
        <v>24</v>
      </c>
      <c r="K1050" t="s">
        <v>25</v>
      </c>
      <c r="L1050" t="b">
        <v>1</v>
      </c>
      <c r="M1050" t="s">
        <v>4651</v>
      </c>
      <c r="P1050" t="b">
        <v>0</v>
      </c>
      <c r="R1050" t="str">
        <f>"9781475585254"</f>
        <v>9781475585254</v>
      </c>
      <c r="S1050" t="str">
        <f>"9781475585308"</f>
        <v>9781475585308</v>
      </c>
    </row>
    <row r="1051" spans="1:20" x14ac:dyDescent="0.3">
      <c r="A1051">
        <v>1496842</v>
      </c>
      <c r="B1051" t="s">
        <v>4652</v>
      </c>
      <c r="D1051" t="s">
        <v>2597</v>
      </c>
      <c r="E1051" t="s">
        <v>2598</v>
      </c>
      <c r="F1051">
        <v>2017</v>
      </c>
      <c r="J1051" t="s">
        <v>24</v>
      </c>
      <c r="K1051" t="s">
        <v>25</v>
      </c>
      <c r="L1051" t="b">
        <v>1</v>
      </c>
      <c r="M1051" t="s">
        <v>4653</v>
      </c>
      <c r="P1051" t="b">
        <v>0</v>
      </c>
      <c r="R1051" t="str">
        <f>"9781475588262"</f>
        <v>9781475588262</v>
      </c>
      <c r="S1051" t="str">
        <f>"9781475588347"</f>
        <v>9781475588347</v>
      </c>
    </row>
    <row r="1052" spans="1:20" x14ac:dyDescent="0.3">
      <c r="A1052">
        <v>1496841</v>
      </c>
      <c r="B1052" t="s">
        <v>4654</v>
      </c>
      <c r="D1052" t="s">
        <v>2597</v>
      </c>
      <c r="E1052" t="s">
        <v>2598</v>
      </c>
      <c r="F1052">
        <v>2017</v>
      </c>
      <c r="J1052" t="s">
        <v>24</v>
      </c>
      <c r="K1052" t="s">
        <v>25</v>
      </c>
      <c r="L1052" t="b">
        <v>1</v>
      </c>
      <c r="M1052" t="s">
        <v>4655</v>
      </c>
      <c r="P1052" t="b">
        <v>0</v>
      </c>
      <c r="R1052" t="str">
        <f>"9781475581126"</f>
        <v>9781475581126</v>
      </c>
      <c r="S1052" t="str">
        <f>"9781475586374"</f>
        <v>9781475586374</v>
      </c>
    </row>
    <row r="1053" spans="1:20" x14ac:dyDescent="0.3">
      <c r="A1053">
        <v>1496840</v>
      </c>
      <c r="B1053" t="s">
        <v>4656</v>
      </c>
      <c r="D1053" t="s">
        <v>2597</v>
      </c>
      <c r="E1053" t="s">
        <v>2598</v>
      </c>
      <c r="F1053">
        <v>2017</v>
      </c>
      <c r="J1053" t="s">
        <v>24</v>
      </c>
      <c r="K1053" t="s">
        <v>25</v>
      </c>
      <c r="L1053" t="b">
        <v>1</v>
      </c>
      <c r="M1053" t="s">
        <v>4657</v>
      </c>
      <c r="P1053" t="b">
        <v>0</v>
      </c>
      <c r="R1053" t="str">
        <f>"9781475586237"</f>
        <v>9781475586237</v>
      </c>
      <c r="S1053" t="str">
        <f>"9781475587012"</f>
        <v>9781475587012</v>
      </c>
    </row>
    <row r="1054" spans="1:20" x14ac:dyDescent="0.3">
      <c r="A1054">
        <v>1496839</v>
      </c>
      <c r="B1054" t="s">
        <v>4658</v>
      </c>
      <c r="D1054" t="s">
        <v>2597</v>
      </c>
      <c r="E1054" t="s">
        <v>2598</v>
      </c>
      <c r="F1054">
        <v>2017</v>
      </c>
      <c r="J1054" t="s">
        <v>24</v>
      </c>
      <c r="K1054" t="s">
        <v>25</v>
      </c>
      <c r="L1054" t="b">
        <v>1</v>
      </c>
      <c r="M1054" t="s">
        <v>4659</v>
      </c>
      <c r="P1054" t="b">
        <v>0</v>
      </c>
      <c r="R1054" t="str">
        <f>"9781475586084"</f>
        <v>9781475586084</v>
      </c>
      <c r="S1054" t="str">
        <f>"9781475586770"</f>
        <v>9781475586770</v>
      </c>
    </row>
    <row r="1055" spans="1:20" x14ac:dyDescent="0.3">
      <c r="A1055">
        <v>1496838</v>
      </c>
      <c r="B1055" t="s">
        <v>4660</v>
      </c>
      <c r="D1055" t="s">
        <v>2597</v>
      </c>
      <c r="E1055" t="s">
        <v>2598</v>
      </c>
      <c r="F1055">
        <v>2017</v>
      </c>
      <c r="J1055" t="s">
        <v>24</v>
      </c>
      <c r="K1055" t="s">
        <v>25</v>
      </c>
      <c r="L1055" t="b">
        <v>1</v>
      </c>
      <c r="M1055" t="s">
        <v>4661</v>
      </c>
      <c r="P1055" t="b">
        <v>0</v>
      </c>
      <c r="R1055" t="str">
        <f>"9781475587494"</f>
        <v>9781475587494</v>
      </c>
      <c r="S1055" t="str">
        <f>"9781475587579"</f>
        <v>9781475587579</v>
      </c>
    </row>
    <row r="1056" spans="1:20" x14ac:dyDescent="0.3">
      <c r="A1056">
        <v>1496837</v>
      </c>
      <c r="B1056" t="s">
        <v>4662</v>
      </c>
      <c r="D1056" t="s">
        <v>2597</v>
      </c>
      <c r="E1056" t="s">
        <v>2598</v>
      </c>
      <c r="F1056">
        <v>2017</v>
      </c>
      <c r="J1056" t="s">
        <v>24</v>
      </c>
      <c r="K1056" t="s">
        <v>25</v>
      </c>
      <c r="L1056" t="b">
        <v>1</v>
      </c>
      <c r="M1056" t="s">
        <v>4663</v>
      </c>
      <c r="P1056" t="b">
        <v>0</v>
      </c>
      <c r="R1056" t="str">
        <f>"9781475585506"</f>
        <v>9781475585506</v>
      </c>
      <c r="S1056" t="str">
        <f>"9781475585643"</f>
        <v>9781475585643</v>
      </c>
    </row>
    <row r="1057" spans="1:19" x14ac:dyDescent="0.3">
      <c r="A1057">
        <v>1496836</v>
      </c>
      <c r="B1057" t="s">
        <v>4664</v>
      </c>
      <c r="D1057" t="s">
        <v>2597</v>
      </c>
      <c r="E1057" t="s">
        <v>2598</v>
      </c>
      <c r="F1057">
        <v>2017</v>
      </c>
      <c r="J1057" t="s">
        <v>24</v>
      </c>
      <c r="K1057" t="s">
        <v>25</v>
      </c>
      <c r="L1057" t="b">
        <v>1</v>
      </c>
      <c r="M1057" t="s">
        <v>4665</v>
      </c>
      <c r="P1057" t="b">
        <v>0</v>
      </c>
      <c r="R1057" t="str">
        <f>"9781475588170"</f>
        <v>9781475588170</v>
      </c>
      <c r="S1057" t="str">
        <f>"9781475588217"</f>
        <v>9781475588217</v>
      </c>
    </row>
    <row r="1058" spans="1:19" x14ac:dyDescent="0.3">
      <c r="A1058">
        <v>1496834</v>
      </c>
      <c r="B1058" t="s">
        <v>4666</v>
      </c>
      <c r="D1058" t="s">
        <v>2597</v>
      </c>
      <c r="E1058" t="s">
        <v>2598</v>
      </c>
      <c r="F1058">
        <v>2017</v>
      </c>
      <c r="J1058" t="s">
        <v>24</v>
      </c>
      <c r="K1058" t="s">
        <v>25</v>
      </c>
      <c r="L1058" t="b">
        <v>1</v>
      </c>
      <c r="M1058" t="s">
        <v>4667</v>
      </c>
      <c r="P1058" t="b">
        <v>0</v>
      </c>
      <c r="R1058" t="str">
        <f>"9781475586220"</f>
        <v>9781475586220</v>
      </c>
      <c r="S1058" t="str">
        <f>"9781475586954"</f>
        <v>9781475586954</v>
      </c>
    </row>
    <row r="1059" spans="1:19" x14ac:dyDescent="0.3">
      <c r="A1059">
        <v>1496833</v>
      </c>
      <c r="B1059" t="s">
        <v>4668</v>
      </c>
      <c r="D1059" t="s">
        <v>2597</v>
      </c>
      <c r="E1059" t="s">
        <v>2598</v>
      </c>
      <c r="F1059">
        <v>2017</v>
      </c>
      <c r="J1059" t="s">
        <v>24</v>
      </c>
      <c r="K1059" t="s">
        <v>25</v>
      </c>
      <c r="L1059" t="b">
        <v>1</v>
      </c>
      <c r="M1059" t="s">
        <v>4669</v>
      </c>
      <c r="P1059" t="b">
        <v>0</v>
      </c>
      <c r="R1059" t="str">
        <f>"9781475586121"</f>
        <v>9781475586121</v>
      </c>
      <c r="S1059" t="str">
        <f>"9781475586817"</f>
        <v>9781475586817</v>
      </c>
    </row>
    <row r="1060" spans="1:19" x14ac:dyDescent="0.3">
      <c r="A1060">
        <v>1496832</v>
      </c>
      <c r="B1060" t="s">
        <v>4670</v>
      </c>
      <c r="D1060" t="s">
        <v>2597</v>
      </c>
      <c r="E1060" t="s">
        <v>2598</v>
      </c>
      <c r="F1060">
        <v>2017</v>
      </c>
      <c r="J1060" t="s">
        <v>24</v>
      </c>
      <c r="K1060" t="s">
        <v>25</v>
      </c>
      <c r="L1060" t="b">
        <v>1</v>
      </c>
      <c r="M1060" t="s">
        <v>4655</v>
      </c>
      <c r="P1060" t="b">
        <v>0</v>
      </c>
      <c r="R1060" t="str">
        <f>"9781475583984"</f>
        <v>9781475583984</v>
      </c>
      <c r="S1060" t="str">
        <f>"9781475586565"</f>
        <v>9781475586565</v>
      </c>
    </row>
    <row r="1061" spans="1:19" x14ac:dyDescent="0.3">
      <c r="A1061">
        <v>1496831</v>
      </c>
      <c r="B1061" t="s">
        <v>4671</v>
      </c>
      <c r="D1061" t="s">
        <v>2597</v>
      </c>
      <c r="E1061" t="s">
        <v>2598</v>
      </c>
      <c r="F1061">
        <v>2017</v>
      </c>
      <c r="J1061" t="s">
        <v>24</v>
      </c>
      <c r="K1061" t="s">
        <v>25</v>
      </c>
      <c r="L1061" t="b">
        <v>1</v>
      </c>
      <c r="M1061" t="s">
        <v>4672</v>
      </c>
      <c r="P1061" t="b">
        <v>0</v>
      </c>
      <c r="R1061" t="str">
        <f>"9781475588125"</f>
        <v>9781475588125</v>
      </c>
      <c r="S1061" t="str">
        <f>"9781475588163"</f>
        <v>9781475588163</v>
      </c>
    </row>
    <row r="1062" spans="1:19" x14ac:dyDescent="0.3">
      <c r="A1062">
        <v>1496830</v>
      </c>
      <c r="B1062" t="s">
        <v>4673</v>
      </c>
      <c r="D1062" t="s">
        <v>2597</v>
      </c>
      <c r="E1062" t="s">
        <v>2598</v>
      </c>
      <c r="F1062">
        <v>2017</v>
      </c>
      <c r="J1062" t="s">
        <v>24</v>
      </c>
      <c r="K1062" t="s">
        <v>25</v>
      </c>
      <c r="L1062" t="b">
        <v>1</v>
      </c>
      <c r="M1062" t="s">
        <v>4655</v>
      </c>
      <c r="P1062" t="b">
        <v>0</v>
      </c>
      <c r="R1062" t="str">
        <f>"9781475583601"</f>
        <v>9781475583601</v>
      </c>
      <c r="S1062" t="str">
        <f>"9781475586190"</f>
        <v>9781475586190</v>
      </c>
    </row>
    <row r="1063" spans="1:19" x14ac:dyDescent="0.3">
      <c r="A1063">
        <v>1496829</v>
      </c>
      <c r="B1063" t="s">
        <v>4674</v>
      </c>
      <c r="D1063" t="s">
        <v>2597</v>
      </c>
      <c r="E1063" t="s">
        <v>2598</v>
      </c>
      <c r="F1063">
        <v>2017</v>
      </c>
      <c r="J1063" t="s">
        <v>24</v>
      </c>
      <c r="K1063" t="s">
        <v>25</v>
      </c>
      <c r="L1063" t="b">
        <v>1</v>
      </c>
      <c r="M1063" t="s">
        <v>4675</v>
      </c>
      <c r="P1063" t="b">
        <v>0</v>
      </c>
      <c r="R1063" t="str">
        <f>"9781475586206"</f>
        <v>9781475586206</v>
      </c>
      <c r="S1063" t="str">
        <f>"9781475586855"</f>
        <v>9781475586855</v>
      </c>
    </row>
    <row r="1064" spans="1:19" x14ac:dyDescent="0.3">
      <c r="A1064">
        <v>1496828</v>
      </c>
      <c r="B1064" t="s">
        <v>4676</v>
      </c>
      <c r="D1064" t="s">
        <v>2597</v>
      </c>
      <c r="E1064" t="s">
        <v>2598</v>
      </c>
      <c r="F1064">
        <v>2017</v>
      </c>
      <c r="J1064" t="s">
        <v>24</v>
      </c>
      <c r="K1064" t="s">
        <v>25</v>
      </c>
      <c r="L1064" t="b">
        <v>1</v>
      </c>
      <c r="M1064" t="s">
        <v>4677</v>
      </c>
      <c r="P1064" t="b">
        <v>0</v>
      </c>
      <c r="R1064" t="str">
        <f>"9781475585568"</f>
        <v>9781475585568</v>
      </c>
      <c r="S1064" t="str">
        <f>"9781475585964"</f>
        <v>9781475585964</v>
      </c>
    </row>
    <row r="1065" spans="1:19" x14ac:dyDescent="0.3">
      <c r="A1065">
        <v>1496827</v>
      </c>
      <c r="B1065" t="s">
        <v>4678</v>
      </c>
      <c r="D1065" t="s">
        <v>2597</v>
      </c>
      <c r="E1065" t="s">
        <v>2598</v>
      </c>
      <c r="F1065">
        <v>2017</v>
      </c>
      <c r="J1065" t="s">
        <v>24</v>
      </c>
      <c r="K1065" t="s">
        <v>25</v>
      </c>
      <c r="L1065" t="b">
        <v>1</v>
      </c>
      <c r="M1065" t="s">
        <v>4679</v>
      </c>
      <c r="P1065" t="b">
        <v>0</v>
      </c>
      <c r="R1065" t="str">
        <f>"9781475586060"</f>
        <v>9781475586060</v>
      </c>
      <c r="S1065" t="str">
        <f>"9781475586695"</f>
        <v>9781475586695</v>
      </c>
    </row>
    <row r="1066" spans="1:19" x14ac:dyDescent="0.3">
      <c r="A1066">
        <v>1496826</v>
      </c>
      <c r="B1066" t="s">
        <v>4680</v>
      </c>
      <c r="D1066" t="s">
        <v>2597</v>
      </c>
      <c r="E1066" t="s">
        <v>2598</v>
      </c>
      <c r="F1066">
        <v>2017</v>
      </c>
      <c r="J1066" t="s">
        <v>24</v>
      </c>
      <c r="K1066" t="s">
        <v>25</v>
      </c>
      <c r="L1066" t="b">
        <v>1</v>
      </c>
      <c r="M1066" t="s">
        <v>4681</v>
      </c>
      <c r="P1066" t="b">
        <v>0</v>
      </c>
      <c r="R1066" t="str">
        <f>"9781475586251"</f>
        <v>9781475586251</v>
      </c>
      <c r="S1066" t="str">
        <f>"9781475587197"</f>
        <v>9781475587197</v>
      </c>
    </row>
    <row r="1067" spans="1:19" x14ac:dyDescent="0.3">
      <c r="A1067">
        <v>1496825</v>
      </c>
      <c r="B1067" t="s">
        <v>4682</v>
      </c>
      <c r="D1067" t="s">
        <v>2597</v>
      </c>
      <c r="E1067" t="s">
        <v>2598</v>
      </c>
      <c r="F1067">
        <v>2017</v>
      </c>
      <c r="J1067" t="s">
        <v>24</v>
      </c>
      <c r="K1067" t="s">
        <v>25</v>
      </c>
      <c r="L1067" t="b">
        <v>1</v>
      </c>
      <c r="M1067" t="s">
        <v>4683</v>
      </c>
      <c r="P1067" t="b">
        <v>0</v>
      </c>
      <c r="R1067" t="str">
        <f>"9781475588668"</f>
        <v>9781475588668</v>
      </c>
      <c r="S1067" t="str">
        <f>"9781475588958"</f>
        <v>9781475588958</v>
      </c>
    </row>
    <row r="1068" spans="1:19" x14ac:dyDescent="0.3">
      <c r="A1068">
        <v>1496824</v>
      </c>
      <c r="B1068" t="s">
        <v>4684</v>
      </c>
      <c r="D1068" t="s">
        <v>2597</v>
      </c>
      <c r="E1068" t="s">
        <v>2598</v>
      </c>
      <c r="F1068">
        <v>2017</v>
      </c>
      <c r="J1068" t="s">
        <v>24</v>
      </c>
      <c r="K1068" t="s">
        <v>25</v>
      </c>
      <c r="L1068" t="b">
        <v>1</v>
      </c>
      <c r="M1068" t="s">
        <v>4685</v>
      </c>
      <c r="P1068" t="b">
        <v>0</v>
      </c>
      <c r="R1068" t="str">
        <f>"9781475585551"</f>
        <v>9781475585551</v>
      </c>
      <c r="S1068" t="str">
        <f>"9781475585926"</f>
        <v>9781475585926</v>
      </c>
    </row>
    <row r="1069" spans="1:19" x14ac:dyDescent="0.3">
      <c r="A1069">
        <v>1496823</v>
      </c>
      <c r="B1069" t="s">
        <v>4686</v>
      </c>
      <c r="D1069" t="s">
        <v>2597</v>
      </c>
      <c r="E1069" t="s">
        <v>2598</v>
      </c>
      <c r="F1069">
        <v>2017</v>
      </c>
      <c r="J1069" t="s">
        <v>24</v>
      </c>
      <c r="K1069" t="s">
        <v>25</v>
      </c>
      <c r="L1069" t="b">
        <v>1</v>
      </c>
      <c r="M1069" t="s">
        <v>4687</v>
      </c>
      <c r="P1069" t="b">
        <v>0</v>
      </c>
      <c r="R1069" t="str">
        <f>"9781475585537"</f>
        <v>9781475585537</v>
      </c>
      <c r="S1069" t="str">
        <f>"9781475585681"</f>
        <v>9781475585681</v>
      </c>
    </row>
    <row r="1070" spans="1:19" x14ac:dyDescent="0.3">
      <c r="A1070">
        <v>1496822</v>
      </c>
      <c r="B1070" t="s">
        <v>4688</v>
      </c>
      <c r="D1070" t="s">
        <v>2597</v>
      </c>
      <c r="E1070" t="s">
        <v>2598</v>
      </c>
      <c r="F1070">
        <v>2017</v>
      </c>
      <c r="J1070" t="s">
        <v>24</v>
      </c>
      <c r="K1070" t="s">
        <v>25</v>
      </c>
      <c r="L1070" t="b">
        <v>1</v>
      </c>
      <c r="M1070" t="s">
        <v>4689</v>
      </c>
      <c r="P1070" t="b">
        <v>0</v>
      </c>
      <c r="R1070" t="str">
        <f>"9781475588606"</f>
        <v>9781475588606</v>
      </c>
      <c r="S1070" t="str">
        <f>"9781475588781"</f>
        <v>9781475588781</v>
      </c>
    </row>
    <row r="1071" spans="1:19" x14ac:dyDescent="0.3">
      <c r="A1071">
        <v>1496821</v>
      </c>
      <c r="B1071" t="s">
        <v>4690</v>
      </c>
      <c r="D1071" t="s">
        <v>2597</v>
      </c>
      <c r="E1071" t="s">
        <v>2598</v>
      </c>
      <c r="F1071">
        <v>2017</v>
      </c>
      <c r="J1071" t="s">
        <v>24</v>
      </c>
      <c r="K1071" t="s">
        <v>25</v>
      </c>
      <c r="L1071" t="b">
        <v>1</v>
      </c>
      <c r="M1071" t="s">
        <v>4691</v>
      </c>
      <c r="P1071" t="b">
        <v>0</v>
      </c>
      <c r="R1071" t="str">
        <f>"9781475585490"</f>
        <v>9781475585490</v>
      </c>
      <c r="S1071" t="str">
        <f>"9781475585605"</f>
        <v>9781475585605</v>
      </c>
    </row>
    <row r="1072" spans="1:19" x14ac:dyDescent="0.3">
      <c r="A1072">
        <v>1496820</v>
      </c>
      <c r="B1072" t="s">
        <v>4692</v>
      </c>
      <c r="D1072" t="s">
        <v>2597</v>
      </c>
      <c r="E1072" t="s">
        <v>2598</v>
      </c>
      <c r="F1072">
        <v>2017</v>
      </c>
      <c r="J1072" t="s">
        <v>24</v>
      </c>
      <c r="K1072" t="s">
        <v>25</v>
      </c>
      <c r="L1072" t="b">
        <v>1</v>
      </c>
      <c r="M1072" t="s">
        <v>4693</v>
      </c>
      <c r="P1072" t="b">
        <v>0</v>
      </c>
      <c r="R1072" t="str">
        <f>"9781475589207"</f>
        <v>9781475589207</v>
      </c>
      <c r="S1072" t="str">
        <f>"9781475589290"</f>
        <v>9781475589290</v>
      </c>
    </row>
    <row r="1073" spans="1:20" x14ac:dyDescent="0.3">
      <c r="A1073">
        <v>1496819</v>
      </c>
      <c r="B1073" t="s">
        <v>4694</v>
      </c>
      <c r="D1073" t="s">
        <v>2597</v>
      </c>
      <c r="E1073" t="s">
        <v>2598</v>
      </c>
      <c r="F1073">
        <v>2017</v>
      </c>
      <c r="J1073" t="s">
        <v>24</v>
      </c>
      <c r="K1073" t="s">
        <v>25</v>
      </c>
      <c r="L1073" t="b">
        <v>1</v>
      </c>
      <c r="M1073" t="s">
        <v>4695</v>
      </c>
      <c r="P1073" t="b">
        <v>0</v>
      </c>
      <c r="R1073" t="str">
        <f>"9781475586213"</f>
        <v>9781475586213</v>
      </c>
      <c r="S1073" t="str">
        <f>"9781475586909"</f>
        <v>9781475586909</v>
      </c>
    </row>
    <row r="1074" spans="1:20" x14ac:dyDescent="0.3">
      <c r="A1074">
        <v>1496818</v>
      </c>
      <c r="B1074" t="s">
        <v>4696</v>
      </c>
      <c r="D1074" t="s">
        <v>2597</v>
      </c>
      <c r="E1074" t="s">
        <v>2598</v>
      </c>
      <c r="F1074">
        <v>2017</v>
      </c>
      <c r="J1074" t="s">
        <v>24</v>
      </c>
      <c r="K1074" t="s">
        <v>25</v>
      </c>
      <c r="L1074" t="b">
        <v>1</v>
      </c>
      <c r="M1074" t="s">
        <v>4669</v>
      </c>
      <c r="P1074" t="b">
        <v>0</v>
      </c>
      <c r="R1074" t="str">
        <f>"9781475585544"</f>
        <v>9781475585544</v>
      </c>
      <c r="S1074" t="str">
        <f>"9781475585728"</f>
        <v>9781475585728</v>
      </c>
    </row>
    <row r="1075" spans="1:20" x14ac:dyDescent="0.3">
      <c r="A1075">
        <v>1496817</v>
      </c>
      <c r="B1075" t="s">
        <v>4697</v>
      </c>
      <c r="D1075" t="s">
        <v>2597</v>
      </c>
      <c r="E1075" t="s">
        <v>2598</v>
      </c>
      <c r="F1075">
        <v>2017</v>
      </c>
      <c r="J1075" t="s">
        <v>24</v>
      </c>
      <c r="K1075" t="s">
        <v>25</v>
      </c>
      <c r="L1075" t="b">
        <v>1</v>
      </c>
      <c r="M1075" t="s">
        <v>4698</v>
      </c>
      <c r="P1075" t="b">
        <v>0</v>
      </c>
      <c r="R1075" t="str">
        <f>"9781475588224"</f>
        <v>9781475588224</v>
      </c>
      <c r="S1075" t="str">
        <f>"9781475588255"</f>
        <v>9781475588255</v>
      </c>
    </row>
    <row r="1076" spans="1:20" x14ac:dyDescent="0.3">
      <c r="A1076">
        <v>1496816</v>
      </c>
      <c r="B1076" t="s">
        <v>4699</v>
      </c>
      <c r="D1076" t="s">
        <v>2597</v>
      </c>
      <c r="E1076" t="s">
        <v>2598</v>
      </c>
      <c r="F1076">
        <v>2017</v>
      </c>
      <c r="J1076" t="s">
        <v>24</v>
      </c>
      <c r="K1076" t="s">
        <v>25</v>
      </c>
      <c r="L1076" t="b">
        <v>1</v>
      </c>
      <c r="M1076" t="s">
        <v>4700</v>
      </c>
      <c r="P1076" t="b">
        <v>0</v>
      </c>
      <c r="R1076" t="str">
        <f>"9781475588057"</f>
        <v>9781475588057</v>
      </c>
      <c r="S1076" t="str">
        <f>"9781475588088"</f>
        <v>9781475588088</v>
      </c>
    </row>
    <row r="1077" spans="1:20" x14ac:dyDescent="0.3">
      <c r="A1077">
        <v>1496815</v>
      </c>
      <c r="B1077" t="s">
        <v>4701</v>
      </c>
      <c r="D1077" t="s">
        <v>2597</v>
      </c>
      <c r="E1077" t="s">
        <v>2598</v>
      </c>
      <c r="F1077">
        <v>2017</v>
      </c>
      <c r="J1077" t="s">
        <v>24</v>
      </c>
      <c r="K1077" t="s">
        <v>25</v>
      </c>
      <c r="L1077" t="b">
        <v>1</v>
      </c>
      <c r="M1077" t="s">
        <v>4702</v>
      </c>
      <c r="P1077" t="b">
        <v>0</v>
      </c>
      <c r="R1077" t="str">
        <f>"9781475588675"</f>
        <v>9781475588675</v>
      </c>
      <c r="S1077" t="str">
        <f>"9781475588996"</f>
        <v>9781475588996</v>
      </c>
    </row>
    <row r="1078" spans="1:20" x14ac:dyDescent="0.3">
      <c r="A1078">
        <v>1496814</v>
      </c>
      <c r="B1078" t="s">
        <v>4703</v>
      </c>
      <c r="D1078" t="s">
        <v>2597</v>
      </c>
      <c r="E1078" t="s">
        <v>2598</v>
      </c>
      <c r="F1078">
        <v>2017</v>
      </c>
      <c r="J1078" t="s">
        <v>24</v>
      </c>
      <c r="K1078" t="s">
        <v>25</v>
      </c>
      <c r="L1078" t="b">
        <v>1</v>
      </c>
      <c r="M1078" t="s">
        <v>4704</v>
      </c>
      <c r="P1078" t="b">
        <v>0</v>
      </c>
      <c r="R1078" t="str">
        <f>"9781475588651"</f>
        <v>9781475588651</v>
      </c>
      <c r="S1078" t="str">
        <f>"9781475588910"</f>
        <v>9781475588910</v>
      </c>
    </row>
    <row r="1079" spans="1:20" x14ac:dyDescent="0.3">
      <c r="A1079">
        <v>1496813</v>
      </c>
      <c r="B1079" t="s">
        <v>4705</v>
      </c>
      <c r="D1079" t="s">
        <v>2597</v>
      </c>
      <c r="E1079" t="s">
        <v>2598</v>
      </c>
      <c r="F1079">
        <v>2017</v>
      </c>
      <c r="J1079" t="s">
        <v>24</v>
      </c>
      <c r="K1079" t="s">
        <v>25</v>
      </c>
      <c r="L1079" t="b">
        <v>1</v>
      </c>
      <c r="M1079" t="s">
        <v>4706</v>
      </c>
      <c r="P1079" t="b">
        <v>0</v>
      </c>
      <c r="R1079" t="str">
        <f>"9781475586077"</f>
        <v>9781475586077</v>
      </c>
      <c r="S1079" t="str">
        <f>"9781475586732"</f>
        <v>9781475586732</v>
      </c>
    </row>
    <row r="1080" spans="1:20" x14ac:dyDescent="0.3">
      <c r="A1080">
        <v>1496812</v>
      </c>
      <c r="B1080" t="s">
        <v>4707</v>
      </c>
      <c r="D1080" t="s">
        <v>2597</v>
      </c>
      <c r="E1080" t="s">
        <v>2598</v>
      </c>
      <c r="F1080">
        <v>2017</v>
      </c>
      <c r="J1080" t="s">
        <v>24</v>
      </c>
      <c r="K1080" t="s">
        <v>25</v>
      </c>
      <c r="L1080" t="b">
        <v>1</v>
      </c>
      <c r="M1080" t="s">
        <v>3884</v>
      </c>
      <c r="P1080" t="b">
        <v>0</v>
      </c>
      <c r="R1080" t="str">
        <f>"9781475589252"</f>
        <v>9781475589252</v>
      </c>
      <c r="S1080" t="str">
        <f>"9781475589399"</f>
        <v>9781475589399</v>
      </c>
    </row>
    <row r="1081" spans="1:20" x14ac:dyDescent="0.3">
      <c r="A1081">
        <v>1496763</v>
      </c>
      <c r="B1081" t="s">
        <v>4708</v>
      </c>
      <c r="C1081" t="s">
        <v>4709</v>
      </c>
      <c r="D1081" t="s">
        <v>1011</v>
      </c>
      <c r="E1081" t="s">
        <v>1011</v>
      </c>
      <c r="F1081">
        <v>2017</v>
      </c>
      <c r="G1081" t="s">
        <v>511</v>
      </c>
      <c r="H1081" t="s">
        <v>4710</v>
      </c>
      <c r="I1081" t="s">
        <v>4711</v>
      </c>
      <c r="J1081" t="s">
        <v>24</v>
      </c>
      <c r="K1081" t="s">
        <v>25</v>
      </c>
      <c r="L1081" t="b">
        <v>1</v>
      </c>
      <c r="M1081" t="s">
        <v>4712</v>
      </c>
      <c r="N1081" t="str">
        <f>"355.00952/09041"</f>
        <v>355.00952/09041</v>
      </c>
      <c r="P1081" t="b">
        <v>0</v>
      </c>
      <c r="R1081" t="str">
        <f>"9781501705281"</f>
        <v>9781501705281</v>
      </c>
      <c r="S1081" t="str">
        <f>"9781501708343"</f>
        <v>9781501708343</v>
      </c>
      <c r="T1081">
        <v>958963186</v>
      </c>
    </row>
    <row r="1082" spans="1:20" x14ac:dyDescent="0.3">
      <c r="A1082">
        <v>1496761</v>
      </c>
      <c r="B1082" t="s">
        <v>4713</v>
      </c>
      <c r="C1082" t="s">
        <v>4714</v>
      </c>
      <c r="D1082" t="s">
        <v>1011</v>
      </c>
      <c r="E1082" t="s">
        <v>1011</v>
      </c>
      <c r="F1082">
        <v>2017</v>
      </c>
      <c r="G1082" t="s">
        <v>4715</v>
      </c>
      <c r="H1082" t="s">
        <v>4716</v>
      </c>
      <c r="I1082" t="s">
        <v>4717</v>
      </c>
      <c r="J1082" t="s">
        <v>24</v>
      </c>
      <c r="K1082" t="s">
        <v>25</v>
      </c>
      <c r="L1082" t="b">
        <v>1</v>
      </c>
      <c r="M1082" t="s">
        <v>4718</v>
      </c>
      <c r="N1082" t="str">
        <f>"940.3/43841"</f>
        <v>940.3/43841</v>
      </c>
      <c r="P1082" t="b">
        <v>0</v>
      </c>
      <c r="R1082" t="str">
        <f>"9781501705236"</f>
        <v>9781501705236</v>
      </c>
      <c r="S1082" t="str">
        <f>"9781501707889"</f>
        <v>9781501707889</v>
      </c>
      <c r="T1082">
        <v>973015787</v>
      </c>
    </row>
    <row r="1083" spans="1:20" x14ac:dyDescent="0.3">
      <c r="A1083">
        <v>1495798</v>
      </c>
      <c r="B1083" t="s">
        <v>4719</v>
      </c>
      <c r="C1083" t="s">
        <v>4720</v>
      </c>
      <c r="D1083" t="s">
        <v>2442</v>
      </c>
      <c r="E1083" t="s">
        <v>2443</v>
      </c>
      <c r="F1083">
        <v>2017</v>
      </c>
      <c r="G1083" t="s">
        <v>3763</v>
      </c>
      <c r="H1083" t="s">
        <v>4721</v>
      </c>
      <c r="I1083" t="s">
        <v>4722</v>
      </c>
      <c r="J1083" t="s">
        <v>2437</v>
      </c>
      <c r="K1083" t="s">
        <v>269</v>
      </c>
      <c r="L1083" t="b">
        <v>1</v>
      </c>
      <c r="M1083" t="s">
        <v>4723</v>
      </c>
      <c r="N1083" t="str">
        <f>"610.73649999999998"</f>
        <v>610.73649999999998</v>
      </c>
      <c r="P1083" t="b">
        <v>0</v>
      </c>
      <c r="R1083" t="str">
        <f>"9783899933895"</f>
        <v>9783899933895</v>
      </c>
      <c r="S1083" t="str">
        <f>"9783842688858"</f>
        <v>9783842688858</v>
      </c>
      <c r="T1083">
        <v>979159158</v>
      </c>
    </row>
    <row r="1084" spans="1:20" x14ac:dyDescent="0.3">
      <c r="A1084">
        <v>1495596</v>
      </c>
      <c r="B1084" t="s">
        <v>4724</v>
      </c>
      <c r="D1084" t="s">
        <v>4725</v>
      </c>
      <c r="E1084" t="s">
        <v>4726</v>
      </c>
      <c r="F1084">
        <v>2016</v>
      </c>
      <c r="G1084" t="s">
        <v>713</v>
      </c>
      <c r="H1084" t="s">
        <v>4727</v>
      </c>
      <c r="I1084" t="s">
        <v>4728</v>
      </c>
      <c r="J1084" t="s">
        <v>580</v>
      </c>
      <c r="K1084" t="s">
        <v>55</v>
      </c>
      <c r="L1084" t="b">
        <v>1</v>
      </c>
      <c r="M1084" t="s">
        <v>4729</v>
      </c>
      <c r="N1084" t="str">
        <f>"301.9593"</f>
        <v>301.9593</v>
      </c>
      <c r="P1084" t="b">
        <v>0</v>
      </c>
      <c r="Q1084" t="b">
        <v>0</v>
      </c>
      <c r="R1084" t="str">
        <f>"9786074629422"</f>
        <v>9786074629422</v>
      </c>
      <c r="S1084" t="str">
        <f>"9786076281505"</f>
        <v>9786076281505</v>
      </c>
      <c r="T1084">
        <v>982116315</v>
      </c>
    </row>
    <row r="1085" spans="1:20" x14ac:dyDescent="0.3">
      <c r="A1085">
        <v>1495476</v>
      </c>
      <c r="B1085" t="s">
        <v>4730</v>
      </c>
      <c r="D1085" t="s">
        <v>3080</v>
      </c>
      <c r="E1085" t="s">
        <v>4731</v>
      </c>
      <c r="F1085">
        <v>2017</v>
      </c>
      <c r="G1085" t="s">
        <v>1032</v>
      </c>
      <c r="H1085" t="s">
        <v>4732</v>
      </c>
      <c r="I1085" t="s">
        <v>4733</v>
      </c>
      <c r="J1085" t="s">
        <v>24</v>
      </c>
      <c r="K1085" t="s">
        <v>25</v>
      </c>
      <c r="L1085" t="b">
        <v>1</v>
      </c>
      <c r="M1085" t="s">
        <v>4734</v>
      </c>
      <c r="N1085" t="str">
        <f>"327.4/15"</f>
        <v>327.4/15</v>
      </c>
      <c r="O1085" t="s">
        <v>4730</v>
      </c>
      <c r="P1085" t="b">
        <v>0</v>
      </c>
      <c r="Q1085" t="b">
        <v>0</v>
      </c>
      <c r="R1085" t="str">
        <f>"9781874045830"</f>
        <v>9781874045830</v>
      </c>
      <c r="S1085" t="str">
        <f>"9781908997470"</f>
        <v>9781908997470</v>
      </c>
      <c r="T1085">
        <v>970657315</v>
      </c>
    </row>
    <row r="1086" spans="1:20" x14ac:dyDescent="0.3">
      <c r="A1086">
        <v>1494523</v>
      </c>
      <c r="B1086" t="s">
        <v>4735</v>
      </c>
      <c r="D1086" t="s">
        <v>4103</v>
      </c>
      <c r="E1086" t="s">
        <v>4104</v>
      </c>
      <c r="F1086">
        <v>2017</v>
      </c>
      <c r="G1086" t="s">
        <v>1325</v>
      </c>
      <c r="H1086" t="s">
        <v>4736</v>
      </c>
      <c r="I1086" t="s">
        <v>4737</v>
      </c>
      <c r="J1086" t="s">
        <v>24</v>
      </c>
      <c r="K1086" t="s">
        <v>25</v>
      </c>
      <c r="L1086" t="b">
        <v>1</v>
      </c>
      <c r="M1086" t="s">
        <v>4738</v>
      </c>
      <c r="N1086" t="str">
        <f>"C813/.6"</f>
        <v>C813/.6</v>
      </c>
      <c r="P1086" t="b">
        <v>0</v>
      </c>
      <c r="Q1086" t="b">
        <v>0</v>
      </c>
      <c r="R1086" t="str">
        <f>"9780889844001"</f>
        <v>9780889844001</v>
      </c>
      <c r="S1086" t="str">
        <f>"9780889848429"</f>
        <v>9780889848429</v>
      </c>
      <c r="T1086">
        <v>980826211</v>
      </c>
    </row>
    <row r="1087" spans="1:20" x14ac:dyDescent="0.3">
      <c r="A1087">
        <v>1492846</v>
      </c>
      <c r="B1087" t="s">
        <v>4739</v>
      </c>
      <c r="D1087" t="s">
        <v>4725</v>
      </c>
      <c r="E1087" t="s">
        <v>4726</v>
      </c>
      <c r="F1087">
        <v>2017</v>
      </c>
      <c r="J1087" t="s">
        <v>580</v>
      </c>
      <c r="K1087" t="s">
        <v>55</v>
      </c>
      <c r="L1087" t="b">
        <v>1</v>
      </c>
      <c r="M1087" t="s">
        <v>4740</v>
      </c>
      <c r="P1087" t="b">
        <v>0</v>
      </c>
      <c r="Q1087" t="b">
        <v>0</v>
      </c>
      <c r="R1087" t="str">
        <f>"9786074629187"</f>
        <v>9786074629187</v>
      </c>
      <c r="S1087" t="str">
        <f>"9786076281529"</f>
        <v>9786076281529</v>
      </c>
    </row>
    <row r="1088" spans="1:20" x14ac:dyDescent="0.3">
      <c r="A1088">
        <v>1492845</v>
      </c>
      <c r="B1088" t="s">
        <v>4741</v>
      </c>
      <c r="D1088" t="s">
        <v>4725</v>
      </c>
      <c r="E1088" t="s">
        <v>4726</v>
      </c>
      <c r="F1088">
        <v>2017</v>
      </c>
      <c r="J1088" t="s">
        <v>580</v>
      </c>
      <c r="K1088" t="s">
        <v>55</v>
      </c>
      <c r="L1088" t="b">
        <v>1</v>
      </c>
      <c r="M1088" t="s">
        <v>4742</v>
      </c>
      <c r="P1088" t="b">
        <v>0</v>
      </c>
      <c r="Q1088" t="b">
        <v>0</v>
      </c>
      <c r="R1088" t="str">
        <f>"9786074626964"</f>
        <v>9786074626964</v>
      </c>
      <c r="S1088" t="str">
        <f>"9786076281512"</f>
        <v>9786076281512</v>
      </c>
    </row>
    <row r="1089" spans="1:20" x14ac:dyDescent="0.3">
      <c r="A1089">
        <v>1492844</v>
      </c>
      <c r="B1089" t="s">
        <v>4743</v>
      </c>
      <c r="D1089" t="s">
        <v>4725</v>
      </c>
      <c r="E1089" t="s">
        <v>4726</v>
      </c>
      <c r="F1089">
        <v>2017</v>
      </c>
      <c r="J1089" t="s">
        <v>580</v>
      </c>
      <c r="K1089" t="s">
        <v>55</v>
      </c>
      <c r="L1089" t="b">
        <v>1</v>
      </c>
      <c r="M1089" t="s">
        <v>4744</v>
      </c>
      <c r="P1089" t="b">
        <v>0</v>
      </c>
      <c r="Q1089" t="b">
        <v>0</v>
      </c>
      <c r="R1089" t="str">
        <f>"9786074629163"</f>
        <v>9786074629163</v>
      </c>
      <c r="S1089" t="str">
        <f>"9786076281567"</f>
        <v>9786076281567</v>
      </c>
    </row>
    <row r="1090" spans="1:20" x14ac:dyDescent="0.3">
      <c r="A1090">
        <v>1491946</v>
      </c>
      <c r="B1090" t="s">
        <v>4745</v>
      </c>
      <c r="C1090" t="s">
        <v>4746</v>
      </c>
      <c r="D1090" t="s">
        <v>4536</v>
      </c>
      <c r="E1090" t="s">
        <v>4747</v>
      </c>
      <c r="F1090">
        <v>2017</v>
      </c>
      <c r="G1090" t="s">
        <v>3592</v>
      </c>
      <c r="J1090" t="s">
        <v>24</v>
      </c>
      <c r="K1090" t="s">
        <v>25</v>
      </c>
      <c r="L1090" t="b">
        <v>1</v>
      </c>
      <c r="M1090" t="s">
        <v>4748</v>
      </c>
      <c r="P1090" t="b">
        <v>0</v>
      </c>
      <c r="R1090" t="str">
        <f>"9781904658832"</f>
        <v>9781904658832</v>
      </c>
      <c r="S1090" t="str">
        <f>"9781904658887"</f>
        <v>9781904658887</v>
      </c>
    </row>
    <row r="1091" spans="1:20" x14ac:dyDescent="0.3">
      <c r="A1091">
        <v>1491873</v>
      </c>
      <c r="B1091" t="s">
        <v>4749</v>
      </c>
      <c r="C1091" t="s">
        <v>4750</v>
      </c>
      <c r="D1091" t="s">
        <v>2648</v>
      </c>
      <c r="E1091" t="s">
        <v>2649</v>
      </c>
      <c r="F1091">
        <v>2017</v>
      </c>
      <c r="G1091" t="s">
        <v>456</v>
      </c>
      <c r="H1091" t="s">
        <v>4751</v>
      </c>
      <c r="I1091" t="s">
        <v>4752</v>
      </c>
      <c r="J1091" t="s">
        <v>2437</v>
      </c>
      <c r="K1091" t="s">
        <v>269</v>
      </c>
      <c r="L1091" t="b">
        <v>1</v>
      </c>
      <c r="M1091" t="s">
        <v>4753</v>
      </c>
      <c r="N1091" t="str">
        <f>"621.367"</f>
        <v>621.367</v>
      </c>
      <c r="O1091" t="s">
        <v>4754</v>
      </c>
      <c r="P1091" t="b">
        <v>0</v>
      </c>
      <c r="R1091" t="str">
        <f>"9783958455016"</f>
        <v>9783958455016</v>
      </c>
      <c r="S1091" t="str">
        <f>"9783958455023"</f>
        <v>9783958455023</v>
      </c>
      <c r="T1091">
        <v>982197791</v>
      </c>
    </row>
    <row r="1092" spans="1:20" x14ac:dyDescent="0.3">
      <c r="A1092">
        <v>1491060</v>
      </c>
      <c r="B1092" t="s">
        <v>4755</v>
      </c>
      <c r="D1092" t="s">
        <v>4756</v>
      </c>
      <c r="E1092" t="s">
        <v>4757</v>
      </c>
      <c r="F1092">
        <v>2016</v>
      </c>
      <c r="G1092" t="s">
        <v>4167</v>
      </c>
      <c r="H1092" t="s">
        <v>4758</v>
      </c>
      <c r="I1092" t="s">
        <v>4759</v>
      </c>
      <c r="J1092" t="s">
        <v>580</v>
      </c>
      <c r="K1092" t="s">
        <v>55</v>
      </c>
      <c r="L1092" t="b">
        <v>1</v>
      </c>
      <c r="M1092" t="s">
        <v>4760</v>
      </c>
      <c r="N1092" t="str">
        <f>"759.6"</f>
        <v>759.6</v>
      </c>
      <c r="P1092" t="b">
        <v>0</v>
      </c>
      <c r="Q1092" t="b">
        <v>0</v>
      </c>
      <c r="R1092" t="str">
        <f>"9788415855552"</f>
        <v>9788415855552</v>
      </c>
      <c r="S1092" t="str">
        <f>"9788415874157"</f>
        <v>9788415874157</v>
      </c>
      <c r="T1092">
        <v>956648876</v>
      </c>
    </row>
    <row r="1093" spans="1:20" x14ac:dyDescent="0.3">
      <c r="A1093">
        <v>1490974</v>
      </c>
      <c r="B1093" t="s">
        <v>4761</v>
      </c>
      <c r="D1093" t="s">
        <v>4756</v>
      </c>
      <c r="E1093" t="s">
        <v>4757</v>
      </c>
      <c r="F1093">
        <v>2016</v>
      </c>
      <c r="G1093" t="s">
        <v>4762</v>
      </c>
      <c r="H1093" t="s">
        <v>4763</v>
      </c>
      <c r="I1093" t="s">
        <v>4764</v>
      </c>
      <c r="J1093" t="s">
        <v>580</v>
      </c>
      <c r="K1093" t="s">
        <v>55</v>
      </c>
      <c r="L1093" t="b">
        <v>1</v>
      </c>
      <c r="M1093" t="s">
        <v>4760</v>
      </c>
      <c r="N1093" t="str">
        <f>"734.25"</f>
        <v>734.25</v>
      </c>
      <c r="P1093" t="b">
        <v>0</v>
      </c>
      <c r="Q1093" t="b">
        <v>0</v>
      </c>
      <c r="R1093" t="str">
        <f>"9788416014538"</f>
        <v>9788416014538</v>
      </c>
      <c r="S1093" t="str">
        <f>"9788416014019"</f>
        <v>9788416014019</v>
      </c>
      <c r="T1093">
        <v>956648906</v>
      </c>
    </row>
    <row r="1094" spans="1:20" x14ac:dyDescent="0.3">
      <c r="A1094">
        <v>1490941</v>
      </c>
      <c r="B1094" t="s">
        <v>4765</v>
      </c>
      <c r="C1094" t="s">
        <v>4766</v>
      </c>
      <c r="D1094" t="s">
        <v>4767</v>
      </c>
      <c r="E1094" t="s">
        <v>4768</v>
      </c>
      <c r="F1094">
        <v>2017</v>
      </c>
      <c r="G1094" t="s">
        <v>981</v>
      </c>
      <c r="H1094" t="s">
        <v>4769</v>
      </c>
      <c r="I1094" t="s">
        <v>4770</v>
      </c>
      <c r="J1094" t="s">
        <v>24</v>
      </c>
      <c r="K1094" t="s">
        <v>269</v>
      </c>
      <c r="L1094" t="b">
        <v>1</v>
      </c>
      <c r="M1094" t="s">
        <v>4771</v>
      </c>
      <c r="N1094" t="str">
        <f>"C810.9/0054"</f>
        <v>C810.9/0054</v>
      </c>
      <c r="O1094" t="s">
        <v>4772</v>
      </c>
      <c r="P1094" t="b">
        <v>0</v>
      </c>
      <c r="R1094" t="str">
        <f>"9781772123012"</f>
        <v>9781772123012</v>
      </c>
      <c r="S1094" t="str">
        <f>"9781772123043"</f>
        <v>9781772123043</v>
      </c>
      <c r="T1094">
        <v>967787999</v>
      </c>
    </row>
    <row r="1095" spans="1:20" x14ac:dyDescent="0.3">
      <c r="A1095">
        <v>1490686</v>
      </c>
      <c r="B1095" t="s">
        <v>4773</v>
      </c>
      <c r="C1095" t="s">
        <v>4774</v>
      </c>
      <c r="D1095" t="s">
        <v>3080</v>
      </c>
      <c r="E1095" t="s">
        <v>4775</v>
      </c>
      <c r="F1095">
        <v>2017</v>
      </c>
      <c r="G1095" t="s">
        <v>4063</v>
      </c>
      <c r="H1095" t="s">
        <v>4776</v>
      </c>
      <c r="I1095" t="s">
        <v>4777</v>
      </c>
      <c r="J1095" t="s">
        <v>24</v>
      </c>
      <c r="K1095" t="s">
        <v>25</v>
      </c>
      <c r="L1095" t="b">
        <v>1</v>
      </c>
      <c r="M1095" t="s">
        <v>4778</v>
      </c>
      <c r="N1095" t="str">
        <f>"770"</f>
        <v>770</v>
      </c>
      <c r="P1095" t="b">
        <v>0</v>
      </c>
      <c r="Q1095" t="b">
        <v>0</v>
      </c>
      <c r="R1095" t="str">
        <f>"9783958080447"</f>
        <v>9783958080447</v>
      </c>
      <c r="S1095" t="str">
        <f>"9783958081079"</f>
        <v>9783958081079</v>
      </c>
      <c r="T1095">
        <v>979418020</v>
      </c>
    </row>
    <row r="1096" spans="1:20" x14ac:dyDescent="0.3">
      <c r="A1096">
        <v>1490685</v>
      </c>
      <c r="B1096" t="s">
        <v>4779</v>
      </c>
      <c r="D1096" t="s">
        <v>3080</v>
      </c>
      <c r="E1096" t="s">
        <v>4780</v>
      </c>
      <c r="F1096">
        <v>2017</v>
      </c>
      <c r="G1096" t="s">
        <v>1501</v>
      </c>
      <c r="H1096" t="s">
        <v>4781</v>
      </c>
      <c r="I1096" t="s">
        <v>4782</v>
      </c>
      <c r="J1096" t="s">
        <v>24</v>
      </c>
      <c r="K1096" t="s">
        <v>269</v>
      </c>
      <c r="L1096" t="b">
        <v>1</v>
      </c>
      <c r="M1096" t="s">
        <v>4783</v>
      </c>
      <c r="N1096" t="str">
        <f>"941.6082"</f>
        <v>941.6082</v>
      </c>
      <c r="P1096" t="b">
        <v>0</v>
      </c>
      <c r="Q1096" t="b">
        <v>0</v>
      </c>
      <c r="R1096" t="str">
        <f>"9781911024507"</f>
        <v>9781911024507</v>
      </c>
      <c r="S1096" t="str">
        <f>"9781911024613"</f>
        <v>9781911024613</v>
      </c>
      <c r="T1096">
        <v>980237207</v>
      </c>
    </row>
    <row r="1097" spans="1:20" x14ac:dyDescent="0.3">
      <c r="A1097">
        <v>1490683</v>
      </c>
      <c r="B1097" t="s">
        <v>4784</v>
      </c>
      <c r="C1097" t="s">
        <v>4785</v>
      </c>
      <c r="D1097" t="s">
        <v>3080</v>
      </c>
      <c r="E1097" t="s">
        <v>4323</v>
      </c>
      <c r="F1097">
        <v>2017</v>
      </c>
      <c r="G1097" t="s">
        <v>2798</v>
      </c>
      <c r="H1097" t="s">
        <v>4786</v>
      </c>
      <c r="I1097" t="s">
        <v>4787</v>
      </c>
      <c r="J1097" t="s">
        <v>24</v>
      </c>
      <c r="K1097" t="s">
        <v>25</v>
      </c>
      <c r="L1097" t="b">
        <v>1</v>
      </c>
      <c r="M1097" t="s">
        <v>4788</v>
      </c>
      <c r="N1097" t="str">
        <f>"320.540956940941"</f>
        <v>320.540956940941</v>
      </c>
      <c r="P1097" t="b">
        <v>0</v>
      </c>
      <c r="Q1097" t="b">
        <v>0</v>
      </c>
      <c r="R1097" t="str">
        <f>"9781910383322"</f>
        <v>9781910383322</v>
      </c>
      <c r="S1097" t="str">
        <f>"9781910383339"</f>
        <v>9781910383339</v>
      </c>
      <c r="T1097">
        <v>992737534</v>
      </c>
    </row>
    <row r="1098" spans="1:20" x14ac:dyDescent="0.3">
      <c r="A1098">
        <v>1489137</v>
      </c>
      <c r="B1098" t="s">
        <v>4789</v>
      </c>
      <c r="C1098" t="s">
        <v>4790</v>
      </c>
      <c r="D1098" t="s">
        <v>22</v>
      </c>
      <c r="E1098" t="s">
        <v>22</v>
      </c>
      <c r="F1098">
        <v>2017</v>
      </c>
      <c r="G1098" t="s">
        <v>245</v>
      </c>
      <c r="H1098" t="s">
        <v>2909</v>
      </c>
      <c r="I1098" t="s">
        <v>4791</v>
      </c>
      <c r="J1098" t="s">
        <v>24</v>
      </c>
      <c r="K1098" t="s">
        <v>269</v>
      </c>
      <c r="L1098" t="b">
        <v>1</v>
      </c>
      <c r="M1098" t="s">
        <v>4792</v>
      </c>
      <c r="N1098" t="str">
        <f>"320.011"</f>
        <v>320.011</v>
      </c>
      <c r="P1098" t="b">
        <v>0</v>
      </c>
      <c r="R1098" t="str">
        <f>"9781868148660"</f>
        <v>9781868148660</v>
      </c>
      <c r="S1098" t="str">
        <f>"9781868148677"</f>
        <v>9781868148677</v>
      </c>
      <c r="T1098">
        <v>980837380</v>
      </c>
    </row>
    <row r="1099" spans="1:20" x14ac:dyDescent="0.3">
      <c r="A1099">
        <v>1489088</v>
      </c>
      <c r="B1099" t="s">
        <v>4793</v>
      </c>
      <c r="D1099" t="s">
        <v>2450</v>
      </c>
      <c r="E1099" t="s">
        <v>2451</v>
      </c>
      <c r="F1099">
        <v>2017</v>
      </c>
      <c r="G1099" t="s">
        <v>2903</v>
      </c>
      <c r="H1099" t="s">
        <v>4794</v>
      </c>
      <c r="I1099" t="s">
        <v>4795</v>
      </c>
      <c r="J1099" t="s">
        <v>2437</v>
      </c>
      <c r="K1099" t="s">
        <v>25</v>
      </c>
      <c r="L1099" t="b">
        <v>1</v>
      </c>
      <c r="M1099" t="s">
        <v>4796</v>
      </c>
      <c r="N1099" t="str">
        <f>"193"</f>
        <v>193</v>
      </c>
      <c r="O1099" t="s">
        <v>2455</v>
      </c>
      <c r="P1099" t="b">
        <v>0</v>
      </c>
      <c r="R1099" t="str">
        <f>"9783959482400"</f>
        <v>9783959482400</v>
      </c>
      <c r="S1099" t="str">
        <f>"9783869459998"</f>
        <v>9783869459998</v>
      </c>
      <c r="T1099">
        <v>978351298</v>
      </c>
    </row>
    <row r="1100" spans="1:20" x14ac:dyDescent="0.3">
      <c r="A1100">
        <v>1489074</v>
      </c>
      <c r="B1100" t="s">
        <v>4797</v>
      </c>
      <c r="C1100" t="s">
        <v>4798</v>
      </c>
      <c r="D1100" t="s">
        <v>423</v>
      </c>
      <c r="E1100" t="s">
        <v>2169</v>
      </c>
      <c r="F1100">
        <v>2017</v>
      </c>
      <c r="G1100" t="s">
        <v>4799</v>
      </c>
      <c r="H1100" t="s">
        <v>4800</v>
      </c>
      <c r="I1100" t="s">
        <v>4801</v>
      </c>
      <c r="J1100" t="s">
        <v>24</v>
      </c>
      <c r="K1100" t="s">
        <v>269</v>
      </c>
      <c r="L1100" t="b">
        <v>1</v>
      </c>
      <c r="M1100" t="s">
        <v>4802</v>
      </c>
      <c r="N1100" t="str">
        <f>"956.05/4"</f>
        <v>956.05/4</v>
      </c>
      <c r="P1100" t="b">
        <v>0</v>
      </c>
      <c r="Q1100" t="b">
        <v>0</v>
      </c>
      <c r="R1100" t="str">
        <f>"9780745399751"</f>
        <v>9780745399751</v>
      </c>
      <c r="S1100" t="str">
        <f>"9781786800756"</f>
        <v>9781786800756</v>
      </c>
      <c r="T1100">
        <v>980347743</v>
      </c>
    </row>
    <row r="1101" spans="1:20" x14ac:dyDescent="0.3">
      <c r="A1101">
        <v>1489073</v>
      </c>
      <c r="B1101" t="s">
        <v>4803</v>
      </c>
      <c r="C1101" t="s">
        <v>4804</v>
      </c>
      <c r="D1101" t="s">
        <v>423</v>
      </c>
      <c r="E1101" t="s">
        <v>2169</v>
      </c>
      <c r="F1101">
        <v>2017</v>
      </c>
      <c r="G1101" t="s">
        <v>4799</v>
      </c>
      <c r="H1101" t="s">
        <v>4805</v>
      </c>
      <c r="I1101" t="s">
        <v>4806</v>
      </c>
      <c r="J1101" t="s">
        <v>24</v>
      </c>
      <c r="K1101" t="s">
        <v>25</v>
      </c>
      <c r="L1101" t="b">
        <v>1</v>
      </c>
      <c r="M1101" t="s">
        <v>4807</v>
      </c>
      <c r="N1101" t="str">
        <f>"322.4/2/09561"</f>
        <v>322.4/2/09561</v>
      </c>
      <c r="O1101" t="s">
        <v>4808</v>
      </c>
      <c r="P1101" t="b">
        <v>0</v>
      </c>
      <c r="Q1101" t="b">
        <v>0</v>
      </c>
      <c r="R1101" t="str">
        <f>"9780745399348"</f>
        <v>9780745399348</v>
      </c>
      <c r="S1101" t="str">
        <f>"9781786800374"</f>
        <v>9781786800374</v>
      </c>
      <c r="T1101">
        <v>980165979</v>
      </c>
    </row>
    <row r="1102" spans="1:20" x14ac:dyDescent="0.3">
      <c r="A1102">
        <v>1489071</v>
      </c>
      <c r="B1102" t="s">
        <v>4809</v>
      </c>
      <c r="C1102" t="s">
        <v>4810</v>
      </c>
      <c r="D1102" t="s">
        <v>423</v>
      </c>
      <c r="E1102" t="s">
        <v>2169</v>
      </c>
      <c r="F1102">
        <v>2017</v>
      </c>
      <c r="G1102" t="s">
        <v>60</v>
      </c>
      <c r="H1102" t="s">
        <v>4811</v>
      </c>
      <c r="I1102" t="s">
        <v>4812</v>
      </c>
      <c r="J1102" t="s">
        <v>24</v>
      </c>
      <c r="K1102" t="s">
        <v>269</v>
      </c>
      <c r="L1102" t="b">
        <v>1</v>
      </c>
      <c r="M1102" t="s">
        <v>4813</v>
      </c>
      <c r="N1102" t="str">
        <f>"325/.21095694"</f>
        <v>325/.21095694</v>
      </c>
      <c r="P1102" t="b">
        <v>0</v>
      </c>
      <c r="Q1102" t="b">
        <v>0</v>
      </c>
      <c r="R1102" t="str">
        <f>"9780745336497"</f>
        <v>9780745336497</v>
      </c>
      <c r="S1102" t="str">
        <f>"9781786800312"</f>
        <v>9781786800312</v>
      </c>
      <c r="T1102">
        <v>980347742</v>
      </c>
    </row>
    <row r="1103" spans="1:20" x14ac:dyDescent="0.3">
      <c r="A1103">
        <v>1488500</v>
      </c>
      <c r="B1103" t="s">
        <v>4814</v>
      </c>
      <c r="C1103" t="s">
        <v>4815</v>
      </c>
      <c r="D1103" t="s">
        <v>4816</v>
      </c>
      <c r="E1103" t="s">
        <v>4816</v>
      </c>
      <c r="F1103">
        <v>2017</v>
      </c>
      <c r="G1103" t="s">
        <v>3249</v>
      </c>
      <c r="H1103" t="s">
        <v>4817</v>
      </c>
      <c r="I1103" t="s">
        <v>4818</v>
      </c>
      <c r="J1103" t="s">
        <v>24</v>
      </c>
      <c r="K1103" t="s">
        <v>55</v>
      </c>
      <c r="L1103" t="b">
        <v>1</v>
      </c>
      <c r="M1103" t="s">
        <v>4819</v>
      </c>
      <c r="N1103" t="str">
        <f>"070.408996/073"</f>
        <v>070.408996/073</v>
      </c>
      <c r="O1103" t="s">
        <v>4820</v>
      </c>
      <c r="P1103" t="b">
        <v>0</v>
      </c>
      <c r="R1103" t="str">
        <f>"9780814645253"</f>
        <v>9780814645253</v>
      </c>
      <c r="S1103" t="str">
        <f>"9780814646984"</f>
        <v>9780814646984</v>
      </c>
      <c r="T1103">
        <v>990722582</v>
      </c>
    </row>
    <row r="1104" spans="1:20" x14ac:dyDescent="0.3">
      <c r="A1104">
        <v>1488081</v>
      </c>
      <c r="B1104" t="s">
        <v>4821</v>
      </c>
      <c r="C1104" t="s">
        <v>4822</v>
      </c>
      <c r="D1104" t="s">
        <v>2860</v>
      </c>
      <c r="E1104" t="s">
        <v>2860</v>
      </c>
      <c r="F1104">
        <v>2017</v>
      </c>
      <c r="G1104" t="s">
        <v>2763</v>
      </c>
      <c r="H1104" t="s">
        <v>4823</v>
      </c>
      <c r="I1104" t="s">
        <v>4824</v>
      </c>
      <c r="J1104" t="s">
        <v>24</v>
      </c>
      <c r="K1104" t="s">
        <v>25</v>
      </c>
      <c r="L1104" t="b">
        <v>1</v>
      </c>
      <c r="M1104" t="s">
        <v>4825</v>
      </c>
      <c r="N1104" t="str">
        <f>"591.68"</f>
        <v>591.68</v>
      </c>
      <c r="O1104" t="s">
        <v>4826</v>
      </c>
      <c r="P1104" t="b">
        <v>0</v>
      </c>
      <c r="Q1104" t="b">
        <v>0</v>
      </c>
      <c r="R1104" t="str">
        <f>"9781536110425"</f>
        <v>9781536110425</v>
      </c>
      <c r="S1104" t="str">
        <f>"9781536110593"</f>
        <v>9781536110593</v>
      </c>
      <c r="T1104">
        <v>979720271</v>
      </c>
    </row>
    <row r="1105" spans="1:20" x14ac:dyDescent="0.3">
      <c r="A1105">
        <v>1488027</v>
      </c>
      <c r="B1105" t="s">
        <v>4827</v>
      </c>
      <c r="C1105" t="s">
        <v>4828</v>
      </c>
      <c r="D1105" t="s">
        <v>2860</v>
      </c>
      <c r="E1105" t="s">
        <v>2860</v>
      </c>
      <c r="F1105">
        <v>2017</v>
      </c>
      <c r="G1105" t="s">
        <v>4829</v>
      </c>
      <c r="H1105" t="s">
        <v>4830</v>
      </c>
      <c r="I1105" t="s">
        <v>4831</v>
      </c>
      <c r="J1105" t="s">
        <v>24</v>
      </c>
      <c r="K1105" t="s">
        <v>25</v>
      </c>
      <c r="L1105" t="b">
        <v>1</v>
      </c>
      <c r="M1105" t="s">
        <v>4832</v>
      </c>
      <c r="N1105" t="str">
        <f>"612.1181"</f>
        <v>612.1181</v>
      </c>
      <c r="O1105" t="s">
        <v>4833</v>
      </c>
      <c r="P1105" t="b">
        <v>0</v>
      </c>
      <c r="Q1105" t="b">
        <v>0</v>
      </c>
      <c r="R1105" t="str">
        <f>"9781536109634"</f>
        <v>9781536109634</v>
      </c>
      <c r="S1105" t="str">
        <f>"9781536109849"</f>
        <v>9781536109849</v>
      </c>
      <c r="T1105">
        <v>978248620</v>
      </c>
    </row>
    <row r="1106" spans="1:20" x14ac:dyDescent="0.3">
      <c r="A1106">
        <v>1488026</v>
      </c>
      <c r="B1106" t="s">
        <v>4834</v>
      </c>
      <c r="D1106" t="s">
        <v>2860</v>
      </c>
      <c r="E1106" t="s">
        <v>2860</v>
      </c>
      <c r="F1106">
        <v>2017</v>
      </c>
      <c r="G1106" t="s">
        <v>4835</v>
      </c>
      <c r="H1106" t="s">
        <v>4836</v>
      </c>
      <c r="I1106" t="s">
        <v>4837</v>
      </c>
      <c r="J1106" t="s">
        <v>24</v>
      </c>
      <c r="K1106" t="s">
        <v>25</v>
      </c>
      <c r="L1106" t="b">
        <v>1</v>
      </c>
      <c r="M1106" t="s">
        <v>4838</v>
      </c>
      <c r="N1106" t="str">
        <f>"579.8/177"</f>
        <v>579.8/177</v>
      </c>
      <c r="O1106" t="s">
        <v>2871</v>
      </c>
      <c r="P1106" t="b">
        <v>0</v>
      </c>
      <c r="Q1106" t="b">
        <v>0</v>
      </c>
      <c r="R1106" t="str">
        <f>"9781536109689"</f>
        <v>9781536109689</v>
      </c>
      <c r="S1106" t="str">
        <f>"9781536109832"</f>
        <v>9781536109832</v>
      </c>
      <c r="T1106">
        <v>978248619</v>
      </c>
    </row>
    <row r="1107" spans="1:20" x14ac:dyDescent="0.3">
      <c r="A1107">
        <v>1488011</v>
      </c>
      <c r="B1107" t="s">
        <v>4839</v>
      </c>
      <c r="C1107" t="s">
        <v>4840</v>
      </c>
      <c r="D1107" t="s">
        <v>3505</v>
      </c>
      <c r="E1107" t="s">
        <v>3506</v>
      </c>
      <c r="F1107">
        <v>2017</v>
      </c>
      <c r="G1107" t="s">
        <v>511</v>
      </c>
      <c r="H1107" t="s">
        <v>4841</v>
      </c>
      <c r="I1107" t="s">
        <v>4842</v>
      </c>
      <c r="J1107" t="s">
        <v>24</v>
      </c>
      <c r="K1107" t="s">
        <v>25</v>
      </c>
      <c r="L1107" t="b">
        <v>0</v>
      </c>
      <c r="M1107" t="s">
        <v>4843</v>
      </c>
      <c r="N1107" t="str">
        <f>"355.6/10971"</f>
        <v>355.6/10971</v>
      </c>
      <c r="O1107" t="s">
        <v>4844</v>
      </c>
      <c r="P1107" t="b">
        <v>0</v>
      </c>
      <c r="R1107" t="str">
        <f>"9780773548770"</f>
        <v>9780773548770</v>
      </c>
      <c r="S1107" t="str">
        <f>"9780773549104"</f>
        <v>9780773549104</v>
      </c>
      <c r="T1107">
        <v>962129205</v>
      </c>
    </row>
    <row r="1108" spans="1:20" x14ac:dyDescent="0.3">
      <c r="A1108">
        <v>1487690</v>
      </c>
      <c r="B1108" t="s">
        <v>4845</v>
      </c>
      <c r="D1108" t="s">
        <v>2597</v>
      </c>
      <c r="E1108" t="s">
        <v>2598</v>
      </c>
      <c r="F1108">
        <v>2017</v>
      </c>
      <c r="J1108" t="s">
        <v>24</v>
      </c>
      <c r="K1108" t="s">
        <v>25</v>
      </c>
      <c r="L1108" t="b">
        <v>1</v>
      </c>
      <c r="M1108" t="s">
        <v>4846</v>
      </c>
      <c r="P1108" t="b">
        <v>0</v>
      </c>
      <c r="R1108" t="str">
        <f>"9781475578690"</f>
        <v>9781475578690</v>
      </c>
      <c r="S1108" t="str">
        <f>"9781475584349"</f>
        <v>9781475584349</v>
      </c>
    </row>
    <row r="1109" spans="1:20" x14ac:dyDescent="0.3">
      <c r="A1109">
        <v>1487688</v>
      </c>
      <c r="B1109" t="s">
        <v>4847</v>
      </c>
      <c r="D1109" t="s">
        <v>2597</v>
      </c>
      <c r="E1109" t="s">
        <v>2598</v>
      </c>
      <c r="F1109">
        <v>2017</v>
      </c>
      <c r="J1109" t="s">
        <v>24</v>
      </c>
      <c r="K1109" t="s">
        <v>25</v>
      </c>
      <c r="L1109" t="b">
        <v>1</v>
      </c>
      <c r="M1109" t="s">
        <v>2599</v>
      </c>
      <c r="P1109" t="b">
        <v>0</v>
      </c>
      <c r="R1109" t="str">
        <f>"9781475577150"</f>
        <v>9781475577150</v>
      </c>
      <c r="S1109" t="str">
        <f>"9781475577365"</f>
        <v>9781475577365</v>
      </c>
    </row>
    <row r="1110" spans="1:20" x14ac:dyDescent="0.3">
      <c r="A1110">
        <v>1487685</v>
      </c>
      <c r="B1110" t="s">
        <v>4848</v>
      </c>
      <c r="D1110" t="s">
        <v>2597</v>
      </c>
      <c r="E1110" t="s">
        <v>2598</v>
      </c>
      <c r="F1110">
        <v>2017</v>
      </c>
      <c r="J1110" t="s">
        <v>24</v>
      </c>
      <c r="K1110" t="s">
        <v>25</v>
      </c>
      <c r="L1110" t="b">
        <v>1</v>
      </c>
      <c r="M1110" t="s">
        <v>4849</v>
      </c>
      <c r="P1110" t="b">
        <v>0</v>
      </c>
      <c r="R1110" t="str">
        <f>"9781475578928"</f>
        <v>9781475578928</v>
      </c>
      <c r="S1110" t="str">
        <f>"9781475584370"</f>
        <v>9781475584370</v>
      </c>
    </row>
    <row r="1111" spans="1:20" x14ac:dyDescent="0.3">
      <c r="A1111">
        <v>1487683</v>
      </c>
      <c r="B1111" t="s">
        <v>4850</v>
      </c>
      <c r="D1111" t="s">
        <v>2597</v>
      </c>
      <c r="E1111" t="s">
        <v>2598</v>
      </c>
      <c r="F1111">
        <v>2017</v>
      </c>
      <c r="J1111" t="s">
        <v>24</v>
      </c>
      <c r="K1111" t="s">
        <v>25</v>
      </c>
      <c r="L1111" t="b">
        <v>1</v>
      </c>
      <c r="M1111" t="s">
        <v>4851</v>
      </c>
      <c r="P1111" t="b">
        <v>0</v>
      </c>
      <c r="R1111" t="str">
        <f>"9781475578966"</f>
        <v>9781475578966</v>
      </c>
      <c r="S1111" t="str">
        <f>"9781475584431"</f>
        <v>9781475584431</v>
      </c>
    </row>
    <row r="1112" spans="1:20" x14ac:dyDescent="0.3">
      <c r="A1112">
        <v>1487682</v>
      </c>
      <c r="B1112" t="s">
        <v>4852</v>
      </c>
      <c r="D1112" t="s">
        <v>2597</v>
      </c>
      <c r="E1112" t="s">
        <v>2598</v>
      </c>
      <c r="F1112">
        <v>2017</v>
      </c>
      <c r="J1112" t="s">
        <v>24</v>
      </c>
      <c r="K1112" t="s">
        <v>25</v>
      </c>
      <c r="L1112" t="b">
        <v>1</v>
      </c>
      <c r="M1112" t="s">
        <v>4853</v>
      </c>
      <c r="P1112" t="b">
        <v>0</v>
      </c>
      <c r="R1112" t="str">
        <f>"9781475579017"</f>
        <v>9781475579017</v>
      </c>
      <c r="S1112" t="str">
        <f>"9781475584653"</f>
        <v>9781475584653</v>
      </c>
    </row>
    <row r="1113" spans="1:20" x14ac:dyDescent="0.3">
      <c r="A1113">
        <v>1487681</v>
      </c>
      <c r="B1113" t="s">
        <v>4854</v>
      </c>
      <c r="D1113" t="s">
        <v>2597</v>
      </c>
      <c r="E1113" t="s">
        <v>2598</v>
      </c>
      <c r="F1113">
        <v>2017</v>
      </c>
      <c r="J1113" t="s">
        <v>24</v>
      </c>
      <c r="K1113" t="s">
        <v>25</v>
      </c>
      <c r="L1113" t="b">
        <v>1</v>
      </c>
      <c r="M1113" t="s">
        <v>4855</v>
      </c>
      <c r="P1113" t="b">
        <v>0</v>
      </c>
      <c r="R1113" t="str">
        <f>"9781475577587"</f>
        <v>9781475577587</v>
      </c>
      <c r="S1113" t="str">
        <f>"9781475584202"</f>
        <v>9781475584202</v>
      </c>
    </row>
    <row r="1114" spans="1:20" x14ac:dyDescent="0.3">
      <c r="A1114">
        <v>1487680</v>
      </c>
      <c r="B1114" t="s">
        <v>4856</v>
      </c>
      <c r="D1114" t="s">
        <v>2597</v>
      </c>
      <c r="E1114" t="s">
        <v>2598</v>
      </c>
      <c r="F1114">
        <v>2017</v>
      </c>
      <c r="J1114" t="s">
        <v>24</v>
      </c>
      <c r="K1114" t="s">
        <v>25</v>
      </c>
      <c r="L1114" t="b">
        <v>1</v>
      </c>
      <c r="M1114" t="s">
        <v>4857</v>
      </c>
      <c r="P1114" t="b">
        <v>0</v>
      </c>
      <c r="R1114" t="str">
        <f>"9781475584783"</f>
        <v>9781475584783</v>
      </c>
      <c r="S1114" t="str">
        <f>"9781475584905"</f>
        <v>9781475584905</v>
      </c>
    </row>
    <row r="1115" spans="1:20" x14ac:dyDescent="0.3">
      <c r="A1115">
        <v>1487679</v>
      </c>
      <c r="B1115" t="s">
        <v>4858</v>
      </c>
      <c r="D1115" t="s">
        <v>2597</v>
      </c>
      <c r="E1115" t="s">
        <v>2598</v>
      </c>
      <c r="F1115">
        <v>2017</v>
      </c>
      <c r="J1115" t="s">
        <v>24</v>
      </c>
      <c r="K1115" t="s">
        <v>25</v>
      </c>
      <c r="L1115" t="b">
        <v>1</v>
      </c>
      <c r="M1115" t="s">
        <v>4859</v>
      </c>
      <c r="P1115" t="b">
        <v>0</v>
      </c>
      <c r="R1115" t="str">
        <f>"9781475578706"</f>
        <v>9781475578706</v>
      </c>
      <c r="S1115" t="str">
        <f>"9781475584271"</f>
        <v>9781475584271</v>
      </c>
    </row>
    <row r="1116" spans="1:20" x14ac:dyDescent="0.3">
      <c r="A1116">
        <v>1487678</v>
      </c>
      <c r="B1116" t="s">
        <v>4860</v>
      </c>
      <c r="D1116" t="s">
        <v>2597</v>
      </c>
      <c r="E1116" t="s">
        <v>2598</v>
      </c>
      <c r="F1116">
        <v>2017</v>
      </c>
      <c r="J1116" t="s">
        <v>24</v>
      </c>
      <c r="K1116" t="s">
        <v>25</v>
      </c>
      <c r="L1116" t="b">
        <v>1</v>
      </c>
      <c r="M1116" t="s">
        <v>4861</v>
      </c>
      <c r="P1116" t="b">
        <v>0</v>
      </c>
      <c r="R1116" t="str">
        <f>"9781475578669"</f>
        <v>9781475578669</v>
      </c>
      <c r="S1116" t="str">
        <f>"9781475584059"</f>
        <v>9781475584059</v>
      </c>
    </row>
    <row r="1117" spans="1:20" x14ac:dyDescent="0.3">
      <c r="A1117">
        <v>1487677</v>
      </c>
      <c r="B1117" t="s">
        <v>4862</v>
      </c>
      <c r="D1117" t="s">
        <v>2597</v>
      </c>
      <c r="E1117" t="s">
        <v>2598</v>
      </c>
      <c r="F1117">
        <v>2017</v>
      </c>
      <c r="J1117" t="s">
        <v>24</v>
      </c>
      <c r="K1117" t="s">
        <v>25</v>
      </c>
      <c r="L1117" t="b">
        <v>1</v>
      </c>
      <c r="M1117" t="s">
        <v>4863</v>
      </c>
      <c r="P1117" t="b">
        <v>0</v>
      </c>
      <c r="R1117" t="str">
        <f>"9781475581133"</f>
        <v>9781475581133</v>
      </c>
      <c r="S1117" t="str">
        <f>"9781475584714"</f>
        <v>9781475584714</v>
      </c>
    </row>
    <row r="1118" spans="1:20" x14ac:dyDescent="0.3">
      <c r="A1118">
        <v>1487676</v>
      </c>
      <c r="B1118" t="s">
        <v>4864</v>
      </c>
      <c r="D1118" t="s">
        <v>2597</v>
      </c>
      <c r="E1118" t="s">
        <v>2598</v>
      </c>
      <c r="F1118">
        <v>2017</v>
      </c>
      <c r="J1118" t="s">
        <v>24</v>
      </c>
      <c r="K1118" t="s">
        <v>25</v>
      </c>
      <c r="L1118" t="b">
        <v>1</v>
      </c>
      <c r="M1118" t="s">
        <v>4865</v>
      </c>
      <c r="P1118" t="b">
        <v>0</v>
      </c>
      <c r="R1118" t="str">
        <f>"9781475578485"</f>
        <v>9781475578485</v>
      </c>
      <c r="S1118" t="str">
        <f>"9781475584080"</f>
        <v>9781475584080</v>
      </c>
    </row>
    <row r="1119" spans="1:20" x14ac:dyDescent="0.3">
      <c r="A1119">
        <v>1487675</v>
      </c>
      <c r="B1119" t="s">
        <v>4866</v>
      </c>
      <c r="D1119" t="s">
        <v>2597</v>
      </c>
      <c r="E1119" t="s">
        <v>2598</v>
      </c>
      <c r="F1119">
        <v>2017</v>
      </c>
      <c r="J1119" t="s">
        <v>24</v>
      </c>
      <c r="K1119" t="s">
        <v>25</v>
      </c>
      <c r="L1119" t="b">
        <v>1</v>
      </c>
      <c r="M1119" t="s">
        <v>4867</v>
      </c>
      <c r="P1119" t="b">
        <v>0</v>
      </c>
      <c r="R1119" t="str">
        <f>"9781475578515"</f>
        <v>9781475578515</v>
      </c>
      <c r="S1119" t="str">
        <f>"9781475584158"</f>
        <v>9781475584158</v>
      </c>
    </row>
    <row r="1120" spans="1:20" x14ac:dyDescent="0.3">
      <c r="A1120">
        <v>1487674</v>
      </c>
      <c r="B1120" t="s">
        <v>4868</v>
      </c>
      <c r="D1120" t="s">
        <v>2597</v>
      </c>
      <c r="E1120" t="s">
        <v>2598</v>
      </c>
      <c r="F1120">
        <v>2017</v>
      </c>
      <c r="J1120" t="s">
        <v>24</v>
      </c>
      <c r="K1120" t="s">
        <v>25</v>
      </c>
      <c r="L1120" t="b">
        <v>1</v>
      </c>
      <c r="M1120" t="s">
        <v>4869</v>
      </c>
      <c r="P1120" t="b">
        <v>0</v>
      </c>
      <c r="R1120" t="str">
        <f>"9781475578959"</f>
        <v>9781475578959</v>
      </c>
      <c r="S1120" t="str">
        <f>"9781475584400"</f>
        <v>9781475584400</v>
      </c>
    </row>
    <row r="1121" spans="1:20" x14ac:dyDescent="0.3">
      <c r="A1121">
        <v>1487673</v>
      </c>
      <c r="B1121" t="s">
        <v>4870</v>
      </c>
      <c r="D1121" t="s">
        <v>2597</v>
      </c>
      <c r="E1121" t="s">
        <v>2598</v>
      </c>
      <c r="F1121">
        <v>2017</v>
      </c>
      <c r="J1121" t="s">
        <v>24</v>
      </c>
      <c r="K1121" t="s">
        <v>25</v>
      </c>
      <c r="L1121" t="b">
        <v>1</v>
      </c>
      <c r="M1121" t="s">
        <v>4871</v>
      </c>
      <c r="P1121" t="b">
        <v>0</v>
      </c>
      <c r="R1121" t="str">
        <f>"9781475578980"</f>
        <v>9781475578980</v>
      </c>
      <c r="S1121" t="str">
        <f>"9781475584592"</f>
        <v>9781475584592</v>
      </c>
    </row>
    <row r="1122" spans="1:20" x14ac:dyDescent="0.3">
      <c r="A1122">
        <v>1487639</v>
      </c>
      <c r="B1122" t="s">
        <v>4872</v>
      </c>
      <c r="C1122" t="s">
        <v>4873</v>
      </c>
      <c r="D1122" t="s">
        <v>4874</v>
      </c>
      <c r="E1122" t="s">
        <v>4875</v>
      </c>
      <c r="F1122">
        <v>2018</v>
      </c>
      <c r="G1122" t="s">
        <v>4876</v>
      </c>
      <c r="H1122" t="s">
        <v>4877</v>
      </c>
      <c r="I1122" t="s">
        <v>4878</v>
      </c>
      <c r="J1122" t="s">
        <v>24</v>
      </c>
      <c r="K1122" t="s">
        <v>25</v>
      </c>
      <c r="L1122" t="b">
        <v>1</v>
      </c>
      <c r="M1122" t="s">
        <v>4879</v>
      </c>
      <c r="N1122" t="str">
        <f>"709.2"</f>
        <v>709.2</v>
      </c>
      <c r="O1122" t="s">
        <v>4880</v>
      </c>
      <c r="P1122" t="b">
        <v>0</v>
      </c>
      <c r="R1122" t="str">
        <f>"9781512601626"</f>
        <v>9781512601626</v>
      </c>
      <c r="S1122" t="str">
        <f>"9781512601640"</f>
        <v>9781512601640</v>
      </c>
      <c r="T1122">
        <v>1003489756</v>
      </c>
    </row>
    <row r="1123" spans="1:20" x14ac:dyDescent="0.3">
      <c r="A1123">
        <v>1487636</v>
      </c>
      <c r="B1123" t="s">
        <v>4881</v>
      </c>
      <c r="C1123" t="s">
        <v>4882</v>
      </c>
      <c r="D1123" t="s">
        <v>4874</v>
      </c>
      <c r="E1123" t="s">
        <v>4875</v>
      </c>
      <c r="F1123">
        <v>2017</v>
      </c>
      <c r="G1123" t="s">
        <v>4883</v>
      </c>
      <c r="H1123" t="s">
        <v>4884</v>
      </c>
      <c r="I1123" t="s">
        <v>4885</v>
      </c>
      <c r="J1123" t="s">
        <v>24</v>
      </c>
      <c r="K1123" t="s">
        <v>25</v>
      </c>
      <c r="L1123" t="b">
        <v>1</v>
      </c>
      <c r="M1123" t="s">
        <v>4886</v>
      </c>
      <c r="N1123" t="str">
        <f>"610.73/706"</f>
        <v>610.73/706</v>
      </c>
      <c r="P1123" t="b">
        <v>0</v>
      </c>
      <c r="R1123" t="str">
        <f>"9781512601213"</f>
        <v>9781512601213</v>
      </c>
      <c r="S1123" t="str">
        <f>"9781512601237"</f>
        <v>9781512601237</v>
      </c>
      <c r="T1123">
        <v>974035823</v>
      </c>
    </row>
    <row r="1124" spans="1:20" x14ac:dyDescent="0.3">
      <c r="A1124">
        <v>1487632</v>
      </c>
      <c r="B1124" t="s">
        <v>4887</v>
      </c>
      <c r="D1124" t="s">
        <v>4874</v>
      </c>
      <c r="E1124" t="s">
        <v>4888</v>
      </c>
      <c r="F1124">
        <v>2018</v>
      </c>
      <c r="G1124" t="s">
        <v>114</v>
      </c>
      <c r="H1124" t="s">
        <v>4889</v>
      </c>
      <c r="I1124" t="s">
        <v>4890</v>
      </c>
      <c r="J1124" t="s">
        <v>24</v>
      </c>
      <c r="K1124" t="s">
        <v>25</v>
      </c>
      <c r="L1124" t="b">
        <v>1</v>
      </c>
      <c r="M1124" t="s">
        <v>4891</v>
      </c>
      <c r="N1124" t="str">
        <f>"371.91/2092;B"</f>
        <v>371.91/2092;B</v>
      </c>
      <c r="P1124" t="b">
        <v>0</v>
      </c>
      <c r="R1124" t="str">
        <f>"9781512600513"</f>
        <v>9781512600513</v>
      </c>
      <c r="S1124" t="str">
        <f>"9781512601411"</f>
        <v>9781512601411</v>
      </c>
      <c r="T1124">
        <v>993624017</v>
      </c>
    </row>
    <row r="1125" spans="1:20" x14ac:dyDescent="0.3">
      <c r="A1125">
        <v>1487629</v>
      </c>
      <c r="B1125" t="s">
        <v>4892</v>
      </c>
      <c r="C1125" t="s">
        <v>4893</v>
      </c>
      <c r="D1125" t="s">
        <v>4874</v>
      </c>
      <c r="E1125" t="s">
        <v>4894</v>
      </c>
      <c r="F1125">
        <v>2018</v>
      </c>
      <c r="G1125" t="s">
        <v>2025</v>
      </c>
      <c r="H1125" t="s">
        <v>4895</v>
      </c>
      <c r="I1125" t="s">
        <v>4896</v>
      </c>
      <c r="J1125" t="s">
        <v>24</v>
      </c>
      <c r="K1125" t="s">
        <v>25</v>
      </c>
      <c r="L1125" t="b">
        <v>1</v>
      </c>
      <c r="M1125" t="s">
        <v>4897</v>
      </c>
      <c r="N1125" t="str">
        <f>"720.95694/6"</f>
        <v>720.95694/6</v>
      </c>
      <c r="P1125" t="b">
        <v>0</v>
      </c>
      <c r="R1125" t="str">
        <f>"9781512601183"</f>
        <v>9781512601183</v>
      </c>
      <c r="S1125" t="str">
        <f>"9781512601190"</f>
        <v>9781512601190</v>
      </c>
      <c r="T1125">
        <v>990778370</v>
      </c>
    </row>
    <row r="1126" spans="1:20" x14ac:dyDescent="0.3">
      <c r="A1126">
        <v>1487625</v>
      </c>
      <c r="B1126" t="s">
        <v>4898</v>
      </c>
      <c r="C1126" t="s">
        <v>4899</v>
      </c>
      <c r="D1126" t="s">
        <v>4874</v>
      </c>
      <c r="E1126" t="s">
        <v>4888</v>
      </c>
      <c r="F1126">
        <v>2017</v>
      </c>
      <c r="G1126" t="s">
        <v>4900</v>
      </c>
      <c r="H1126" t="s">
        <v>4901</v>
      </c>
      <c r="I1126" t="s">
        <v>4902</v>
      </c>
      <c r="J1126" t="s">
        <v>24</v>
      </c>
      <c r="K1126" t="s">
        <v>25</v>
      </c>
      <c r="L1126" t="b">
        <v>1</v>
      </c>
      <c r="M1126" t="s">
        <v>4903</v>
      </c>
      <c r="N1126" t="str">
        <f>"364.152/320974485"</f>
        <v>364.152/320974485</v>
      </c>
      <c r="P1126" t="b">
        <v>0</v>
      </c>
      <c r="R1126" t="str">
        <f>"9781512600742"</f>
        <v>9781512600742</v>
      </c>
      <c r="S1126" t="str">
        <f>"9781512601275"</f>
        <v>9781512601275</v>
      </c>
      <c r="T1126">
        <v>989520112</v>
      </c>
    </row>
    <row r="1127" spans="1:20" x14ac:dyDescent="0.3">
      <c r="A1127">
        <v>1487621</v>
      </c>
      <c r="B1127" t="s">
        <v>4904</v>
      </c>
      <c r="C1127" t="s">
        <v>4905</v>
      </c>
      <c r="D1127" t="s">
        <v>4874</v>
      </c>
      <c r="E1127" t="s">
        <v>4888</v>
      </c>
      <c r="F1127">
        <v>2017</v>
      </c>
      <c r="G1127" t="s">
        <v>4906</v>
      </c>
      <c r="H1127" t="s">
        <v>4907</v>
      </c>
      <c r="I1127" t="s">
        <v>4908</v>
      </c>
      <c r="J1127" t="s">
        <v>24</v>
      </c>
      <c r="K1127" t="s">
        <v>25</v>
      </c>
      <c r="L1127" t="b">
        <v>1</v>
      </c>
      <c r="M1127" t="s">
        <v>4909</v>
      </c>
      <c r="N1127" t="str">
        <f>"591.7096724"</f>
        <v>591.7096724</v>
      </c>
      <c r="P1127" t="b">
        <v>0</v>
      </c>
      <c r="R1127" t="str">
        <f>"9781512600971"</f>
        <v>9781512600971</v>
      </c>
      <c r="S1127" t="str">
        <f>"9781512601206"</f>
        <v>9781512601206</v>
      </c>
      <c r="T1127">
        <v>1004770034</v>
      </c>
    </row>
    <row r="1128" spans="1:20" x14ac:dyDescent="0.3">
      <c r="A1128">
        <v>1487619</v>
      </c>
      <c r="B1128" t="s">
        <v>4910</v>
      </c>
      <c r="C1128" t="s">
        <v>4911</v>
      </c>
      <c r="D1128" t="s">
        <v>4874</v>
      </c>
      <c r="E1128" t="s">
        <v>4888</v>
      </c>
      <c r="F1128">
        <v>2017</v>
      </c>
      <c r="G1128" t="s">
        <v>4912</v>
      </c>
      <c r="H1128" t="s">
        <v>4913</v>
      </c>
      <c r="I1128" t="s">
        <v>4914</v>
      </c>
      <c r="J1128" t="s">
        <v>24</v>
      </c>
      <c r="K1128" t="s">
        <v>25</v>
      </c>
      <c r="L1128" t="b">
        <v>1</v>
      </c>
      <c r="M1128" t="s">
        <v>4915</v>
      </c>
      <c r="N1128" t="str">
        <f>"616.8/390092"</f>
        <v>616.8/390092</v>
      </c>
      <c r="P1128" t="b">
        <v>0</v>
      </c>
      <c r="R1128" t="str">
        <f>"9781512600964"</f>
        <v>9781512600964</v>
      </c>
      <c r="S1128" t="str">
        <f>"9781512601596"</f>
        <v>9781512601596</v>
      </c>
      <c r="T1128">
        <v>1001467746</v>
      </c>
    </row>
    <row r="1129" spans="1:20" x14ac:dyDescent="0.3">
      <c r="A1129">
        <v>1487618</v>
      </c>
      <c r="B1129" t="s">
        <v>4916</v>
      </c>
      <c r="C1129" t="s">
        <v>4917</v>
      </c>
      <c r="D1129" t="s">
        <v>4874</v>
      </c>
      <c r="E1129" t="s">
        <v>4888</v>
      </c>
      <c r="F1129">
        <v>2017</v>
      </c>
      <c r="G1129" t="s">
        <v>713</v>
      </c>
      <c r="H1129" t="s">
        <v>4918</v>
      </c>
      <c r="I1129" t="s">
        <v>4919</v>
      </c>
      <c r="J1129" t="s">
        <v>24</v>
      </c>
      <c r="K1129" t="s">
        <v>25</v>
      </c>
      <c r="L1129" t="b">
        <v>1</v>
      </c>
      <c r="M1129" t="s">
        <v>4920</v>
      </c>
      <c r="N1129" t="str">
        <f>"306.4/613"</f>
        <v>306.4/613</v>
      </c>
      <c r="P1129" t="b">
        <v>0</v>
      </c>
      <c r="R1129" t="str">
        <f>"9781512601428"</f>
        <v>9781512601428</v>
      </c>
      <c r="S1129" t="str">
        <f>"9781512601442"</f>
        <v>9781512601442</v>
      </c>
      <c r="T1129">
        <v>994206163</v>
      </c>
    </row>
    <row r="1130" spans="1:20" x14ac:dyDescent="0.3">
      <c r="A1130">
        <v>1487617</v>
      </c>
      <c r="B1130" t="s">
        <v>4921</v>
      </c>
      <c r="C1130" t="s">
        <v>4922</v>
      </c>
      <c r="D1130" t="s">
        <v>4874</v>
      </c>
      <c r="E1130" t="s">
        <v>4888</v>
      </c>
      <c r="F1130">
        <v>2017</v>
      </c>
      <c r="G1130" t="s">
        <v>4923</v>
      </c>
      <c r="H1130" t="s">
        <v>4924</v>
      </c>
      <c r="I1130" t="s">
        <v>4925</v>
      </c>
      <c r="J1130" t="s">
        <v>24</v>
      </c>
      <c r="K1130" t="s">
        <v>25</v>
      </c>
      <c r="L1130" t="b">
        <v>1</v>
      </c>
      <c r="M1130" t="s">
        <v>4926</v>
      </c>
      <c r="N1130" t="str">
        <f>"343.73/014"</f>
        <v>343.73/014</v>
      </c>
      <c r="P1130" t="b">
        <v>0</v>
      </c>
      <c r="R1130" t="str">
        <f>"9781611688429"</f>
        <v>9781611688429</v>
      </c>
      <c r="S1130" t="str">
        <f>"9781512601114"</f>
        <v>9781512601114</v>
      </c>
      <c r="T1130">
        <v>974912898</v>
      </c>
    </row>
    <row r="1131" spans="1:20" x14ac:dyDescent="0.3">
      <c r="A1131">
        <v>1487594</v>
      </c>
      <c r="B1131" t="s">
        <v>4927</v>
      </c>
      <c r="D1131" t="s">
        <v>394</v>
      </c>
      <c r="E1131" t="s">
        <v>394</v>
      </c>
      <c r="F1131">
        <v>2017</v>
      </c>
      <c r="G1131" t="s">
        <v>3342</v>
      </c>
      <c r="H1131" t="s">
        <v>4928</v>
      </c>
      <c r="I1131" t="s">
        <v>4929</v>
      </c>
      <c r="J1131" t="s">
        <v>24</v>
      </c>
      <c r="K1131" t="s">
        <v>25</v>
      </c>
      <c r="L1131" t="b">
        <v>1</v>
      </c>
      <c r="M1131" t="s">
        <v>4930</v>
      </c>
      <c r="N1131" t="str">
        <f>"370"</f>
        <v>370</v>
      </c>
      <c r="P1131" t="b">
        <v>0</v>
      </c>
      <c r="Q1131" t="b">
        <v>0</v>
      </c>
      <c r="R1131" t="str">
        <f>"9789463009188"</f>
        <v>9789463009188</v>
      </c>
      <c r="S1131" t="str">
        <f>"9789463009201"</f>
        <v>9789463009201</v>
      </c>
      <c r="T1131">
        <v>976435008</v>
      </c>
    </row>
    <row r="1132" spans="1:20" x14ac:dyDescent="0.3">
      <c r="A1132">
        <v>1487589</v>
      </c>
      <c r="B1132" t="s">
        <v>4931</v>
      </c>
      <c r="C1132" t="s">
        <v>4932</v>
      </c>
      <c r="D1132" t="s">
        <v>394</v>
      </c>
      <c r="E1132" t="s">
        <v>394</v>
      </c>
      <c r="F1132">
        <v>2017</v>
      </c>
      <c r="G1132" t="s">
        <v>3342</v>
      </c>
      <c r="H1132" t="s">
        <v>4928</v>
      </c>
      <c r="I1132" t="s">
        <v>4933</v>
      </c>
      <c r="J1132" t="s">
        <v>24</v>
      </c>
      <c r="K1132" t="s">
        <v>25</v>
      </c>
      <c r="L1132" t="b">
        <v>1</v>
      </c>
      <c r="M1132" t="s">
        <v>4934</v>
      </c>
      <c r="N1132" t="str">
        <f>"370"</f>
        <v>370</v>
      </c>
      <c r="P1132" t="b">
        <v>0</v>
      </c>
      <c r="Q1132" t="b">
        <v>0</v>
      </c>
      <c r="R1132" t="str">
        <f>"9789463008822"</f>
        <v>9789463008822</v>
      </c>
      <c r="S1132" t="str">
        <f>"9789463008846"</f>
        <v>9789463008846</v>
      </c>
      <c r="T1132">
        <v>976435036</v>
      </c>
    </row>
    <row r="1133" spans="1:20" x14ac:dyDescent="0.3">
      <c r="A1133">
        <v>1487399</v>
      </c>
      <c r="B1133" t="s">
        <v>4935</v>
      </c>
      <c r="C1133" t="s">
        <v>4936</v>
      </c>
      <c r="D1133" t="s">
        <v>3088</v>
      </c>
      <c r="E1133" t="s">
        <v>3088</v>
      </c>
      <c r="F1133">
        <v>2017</v>
      </c>
      <c r="G1133" t="s">
        <v>1415</v>
      </c>
      <c r="H1133" t="s">
        <v>4937</v>
      </c>
      <c r="I1133" t="s">
        <v>4938</v>
      </c>
      <c r="J1133" t="s">
        <v>24</v>
      </c>
      <c r="K1133" t="s">
        <v>25</v>
      </c>
      <c r="L1133" t="b">
        <v>1</v>
      </c>
      <c r="M1133" t="s">
        <v>4939</v>
      </c>
      <c r="N1133" t="str">
        <f>"306.20968"</f>
        <v>306.20968</v>
      </c>
      <c r="O1133" t="s">
        <v>4940</v>
      </c>
      <c r="P1133" t="b">
        <v>0</v>
      </c>
      <c r="Q1133" t="b">
        <v>0</v>
      </c>
      <c r="R1133" t="str">
        <f>"9781681237886"</f>
        <v>9781681237886</v>
      </c>
      <c r="S1133" t="str">
        <f>"9781681237909"</f>
        <v>9781681237909</v>
      </c>
      <c r="T1133">
        <v>982373743</v>
      </c>
    </row>
    <row r="1134" spans="1:20" x14ac:dyDescent="0.3">
      <c r="A1134">
        <v>1487253</v>
      </c>
      <c r="B1134" t="s">
        <v>4941</v>
      </c>
      <c r="C1134" t="s">
        <v>4942</v>
      </c>
      <c r="D1134" t="s">
        <v>3088</v>
      </c>
      <c r="E1134" t="s">
        <v>3088</v>
      </c>
      <c r="F1134">
        <v>2017</v>
      </c>
      <c r="G1134" t="s">
        <v>2650</v>
      </c>
      <c r="H1134" t="s">
        <v>4943</v>
      </c>
      <c r="I1134" t="s">
        <v>4944</v>
      </c>
      <c r="J1134" t="s">
        <v>24</v>
      </c>
      <c r="K1134" t="s">
        <v>25</v>
      </c>
      <c r="L1134" t="b">
        <v>1</v>
      </c>
      <c r="M1134" t="s">
        <v>4945</v>
      </c>
      <c r="N1134" t="str">
        <f>"658.4/08"</f>
        <v>658.4/08</v>
      </c>
      <c r="O1134" t="s">
        <v>4946</v>
      </c>
      <c r="P1134" t="b">
        <v>0</v>
      </c>
      <c r="Q1134" t="b">
        <v>0</v>
      </c>
      <c r="R1134" t="str">
        <f>"9781681237589"</f>
        <v>9781681237589</v>
      </c>
      <c r="S1134" t="str">
        <f>"9781681237602"</f>
        <v>9781681237602</v>
      </c>
      <c r="T1134">
        <v>983786609</v>
      </c>
    </row>
    <row r="1135" spans="1:20" x14ac:dyDescent="0.3">
      <c r="A1135">
        <v>1487212</v>
      </c>
      <c r="B1135" t="s">
        <v>4947</v>
      </c>
      <c r="D1135" t="s">
        <v>4948</v>
      </c>
      <c r="E1135" t="s">
        <v>4949</v>
      </c>
      <c r="F1135">
        <v>2016</v>
      </c>
      <c r="G1135" t="s">
        <v>1439</v>
      </c>
      <c r="H1135" t="s">
        <v>4950</v>
      </c>
      <c r="J1135" t="s">
        <v>4951</v>
      </c>
      <c r="K1135" t="s">
        <v>55</v>
      </c>
      <c r="L1135" t="b">
        <v>1</v>
      </c>
      <c r="M1135" t="s">
        <v>4952</v>
      </c>
      <c r="N1135" t="str">
        <f>"959.5"</f>
        <v>959.5</v>
      </c>
      <c r="P1135" t="b">
        <v>0</v>
      </c>
      <c r="Q1135" t="b">
        <v>0</v>
      </c>
      <c r="R1135" t="str">
        <f>"9789838619998"</f>
        <v>9789838619998</v>
      </c>
      <c r="S1135" t="str">
        <f>"9789674610234"</f>
        <v>9789674610234</v>
      </c>
      <c r="T1135">
        <v>976435086</v>
      </c>
    </row>
    <row r="1136" spans="1:20" x14ac:dyDescent="0.3">
      <c r="A1136">
        <v>1487196</v>
      </c>
      <c r="B1136" t="s">
        <v>4730</v>
      </c>
      <c r="D1136" t="s">
        <v>3080</v>
      </c>
      <c r="E1136" t="s">
        <v>4731</v>
      </c>
      <c r="F1136">
        <v>2017</v>
      </c>
      <c r="G1136" t="s">
        <v>1032</v>
      </c>
      <c r="H1136" t="s">
        <v>4732</v>
      </c>
      <c r="I1136" t="s">
        <v>4733</v>
      </c>
      <c r="J1136" t="s">
        <v>24</v>
      </c>
      <c r="K1136" t="s">
        <v>25</v>
      </c>
      <c r="L1136" t="b">
        <v>1</v>
      </c>
      <c r="M1136" t="s">
        <v>4953</v>
      </c>
      <c r="N1136" t="str">
        <f>"327.4/15"</f>
        <v>327.4/15</v>
      </c>
      <c r="O1136" t="s">
        <v>4730</v>
      </c>
      <c r="P1136" t="b">
        <v>0</v>
      </c>
      <c r="Q1136" t="b">
        <v>0</v>
      </c>
      <c r="R1136" t="str">
        <f>"9781874045632"</f>
        <v>9781874045632</v>
      </c>
      <c r="S1136" t="str">
        <f>"9781908997500"</f>
        <v>9781908997500</v>
      </c>
      <c r="T1136">
        <v>970657023</v>
      </c>
    </row>
    <row r="1137" spans="1:20" x14ac:dyDescent="0.3">
      <c r="A1137">
        <v>1487195</v>
      </c>
      <c r="B1137" t="s">
        <v>4954</v>
      </c>
      <c r="C1137" t="s">
        <v>4955</v>
      </c>
      <c r="D1137" t="s">
        <v>3080</v>
      </c>
      <c r="E1137" t="s">
        <v>4775</v>
      </c>
      <c r="F1137">
        <v>2017</v>
      </c>
      <c r="G1137" t="s">
        <v>4956</v>
      </c>
      <c r="H1137" t="s">
        <v>4957</v>
      </c>
      <c r="I1137" t="s">
        <v>4958</v>
      </c>
      <c r="J1137" t="s">
        <v>2437</v>
      </c>
      <c r="K1137" t="s">
        <v>25</v>
      </c>
      <c r="L1137" t="b">
        <v>1</v>
      </c>
      <c r="M1137" t="s">
        <v>4959</v>
      </c>
      <c r="N1137" t="str">
        <f>"700.411"</f>
        <v>700.411</v>
      </c>
      <c r="P1137" t="b">
        <v>0</v>
      </c>
      <c r="Q1137" t="b">
        <v>0</v>
      </c>
      <c r="R1137" t="str">
        <f>"9783958081208"</f>
        <v>9783958081208</v>
      </c>
      <c r="S1137" t="str">
        <f>"9783958081703"</f>
        <v>9783958081703</v>
      </c>
      <c r="T1137">
        <v>976434543</v>
      </c>
    </row>
    <row r="1138" spans="1:20" x14ac:dyDescent="0.3">
      <c r="A1138">
        <v>1487192</v>
      </c>
      <c r="B1138" t="s">
        <v>4960</v>
      </c>
      <c r="D1138" t="s">
        <v>3080</v>
      </c>
      <c r="E1138" t="s">
        <v>4775</v>
      </c>
      <c r="F1138">
        <v>2016</v>
      </c>
      <c r="G1138" t="s">
        <v>4167</v>
      </c>
      <c r="H1138" t="s">
        <v>4961</v>
      </c>
      <c r="I1138" t="s">
        <v>4962</v>
      </c>
      <c r="J1138" t="s">
        <v>2437</v>
      </c>
      <c r="K1138" t="s">
        <v>25</v>
      </c>
      <c r="L1138" t="b">
        <v>1</v>
      </c>
      <c r="M1138" t="s">
        <v>4963</v>
      </c>
      <c r="N1138" t="str">
        <f>"709.0404"</f>
        <v>709.0404</v>
      </c>
      <c r="O1138" t="s">
        <v>4964</v>
      </c>
      <c r="P1138" t="b">
        <v>0</v>
      </c>
      <c r="Q1138" t="b">
        <v>0</v>
      </c>
      <c r="R1138" t="str">
        <f>"9783958081147"</f>
        <v>9783958081147</v>
      </c>
      <c r="S1138" t="str">
        <f>"9783958081642"</f>
        <v>9783958081642</v>
      </c>
      <c r="T1138">
        <v>978246749</v>
      </c>
    </row>
    <row r="1139" spans="1:20" x14ac:dyDescent="0.3">
      <c r="A1139">
        <v>1487191</v>
      </c>
      <c r="B1139" t="s">
        <v>4965</v>
      </c>
      <c r="C1139" t="s">
        <v>4966</v>
      </c>
      <c r="D1139" t="s">
        <v>3080</v>
      </c>
      <c r="E1139" t="s">
        <v>4775</v>
      </c>
      <c r="F1139">
        <v>2016</v>
      </c>
      <c r="H1139" t="s">
        <v>4967</v>
      </c>
      <c r="I1139" t="s">
        <v>4968</v>
      </c>
      <c r="J1139" t="s">
        <v>2437</v>
      </c>
      <c r="K1139" t="s">
        <v>25</v>
      </c>
      <c r="L1139" t="b">
        <v>1</v>
      </c>
      <c r="M1139" t="s">
        <v>4969</v>
      </c>
      <c r="N1139" t="str">
        <f>"943"</f>
        <v>943</v>
      </c>
      <c r="P1139" t="b">
        <v>0</v>
      </c>
      <c r="Q1139" t="b">
        <v>0</v>
      </c>
      <c r="R1139" t="str">
        <f>"9783958081123"</f>
        <v>9783958081123</v>
      </c>
      <c r="S1139" t="str">
        <f>"9783958081628"</f>
        <v>9783958081628</v>
      </c>
      <c r="T1139">
        <v>976435004</v>
      </c>
    </row>
    <row r="1140" spans="1:20" x14ac:dyDescent="0.3">
      <c r="A1140">
        <v>1487190</v>
      </c>
      <c r="B1140" t="s">
        <v>4970</v>
      </c>
      <c r="C1140" t="s">
        <v>4971</v>
      </c>
      <c r="D1140" t="s">
        <v>3080</v>
      </c>
      <c r="E1140" t="s">
        <v>4775</v>
      </c>
      <c r="F1140">
        <v>2016</v>
      </c>
      <c r="G1140" t="s">
        <v>899</v>
      </c>
      <c r="H1140" t="s">
        <v>4972</v>
      </c>
      <c r="I1140" t="s">
        <v>4973</v>
      </c>
      <c r="J1140" t="s">
        <v>2437</v>
      </c>
      <c r="K1140" t="s">
        <v>25</v>
      </c>
      <c r="L1140" t="b">
        <v>1</v>
      </c>
      <c r="M1140" t="s">
        <v>4974</v>
      </c>
      <c r="N1140" t="str">
        <f>"792.02/8019"</f>
        <v>792.02/8019</v>
      </c>
      <c r="P1140" t="b">
        <v>0</v>
      </c>
      <c r="Q1140" t="b">
        <v>0</v>
      </c>
      <c r="R1140" t="str">
        <f>"9783958080430"</f>
        <v>9783958080430</v>
      </c>
      <c r="S1140" t="str">
        <f>"9783958081062"</f>
        <v>9783958081062</v>
      </c>
      <c r="T1140">
        <v>976434539</v>
      </c>
    </row>
    <row r="1141" spans="1:20" x14ac:dyDescent="0.3">
      <c r="A1141">
        <v>1487189</v>
      </c>
      <c r="B1141" t="s">
        <v>4975</v>
      </c>
      <c r="D1141" t="s">
        <v>3080</v>
      </c>
      <c r="E1141" t="s">
        <v>4775</v>
      </c>
      <c r="F1141">
        <v>2016</v>
      </c>
      <c r="G1141" t="s">
        <v>305</v>
      </c>
      <c r="H1141" t="s">
        <v>4976</v>
      </c>
      <c r="I1141" t="s">
        <v>4977</v>
      </c>
      <c r="J1141" t="s">
        <v>2437</v>
      </c>
      <c r="K1141" t="s">
        <v>25</v>
      </c>
      <c r="L1141" t="b">
        <v>1</v>
      </c>
      <c r="M1141" t="s">
        <v>4978</v>
      </c>
      <c r="N1141" t="str">
        <f>"378"</f>
        <v>378</v>
      </c>
      <c r="O1141" t="s">
        <v>4979</v>
      </c>
      <c r="P1141" t="b">
        <v>0</v>
      </c>
      <c r="Q1141" t="b">
        <v>0</v>
      </c>
      <c r="R1141" t="str">
        <f>"9783958080423"</f>
        <v>9783958080423</v>
      </c>
      <c r="S1141" t="str">
        <f>"9783958081055"</f>
        <v>9783958081055</v>
      </c>
      <c r="T1141">
        <v>978246880</v>
      </c>
    </row>
    <row r="1142" spans="1:20" x14ac:dyDescent="0.3">
      <c r="A1142">
        <v>1487188</v>
      </c>
      <c r="B1142" t="s">
        <v>4980</v>
      </c>
      <c r="D1142" t="s">
        <v>3080</v>
      </c>
      <c r="E1142" t="s">
        <v>4775</v>
      </c>
      <c r="F1142">
        <v>2016</v>
      </c>
      <c r="G1142" t="s">
        <v>4981</v>
      </c>
      <c r="H1142" t="s">
        <v>4982</v>
      </c>
      <c r="I1142" t="s">
        <v>4983</v>
      </c>
      <c r="J1142" t="s">
        <v>2437</v>
      </c>
      <c r="K1142" t="s">
        <v>25</v>
      </c>
      <c r="L1142" t="b">
        <v>1</v>
      </c>
      <c r="M1142" t="s">
        <v>4963</v>
      </c>
      <c r="N1142" t="str">
        <f>"700"</f>
        <v>700</v>
      </c>
      <c r="O1142" t="s">
        <v>4964</v>
      </c>
      <c r="P1142" t="b">
        <v>0</v>
      </c>
      <c r="Q1142" t="b">
        <v>0</v>
      </c>
      <c r="R1142" t="str">
        <f>"9783958080393"</f>
        <v>9783958080393</v>
      </c>
      <c r="S1142" t="str">
        <f>"9783958081024"</f>
        <v>9783958081024</v>
      </c>
      <c r="T1142">
        <v>976435067</v>
      </c>
    </row>
    <row r="1143" spans="1:20" x14ac:dyDescent="0.3">
      <c r="A1143">
        <v>1487187</v>
      </c>
      <c r="B1143" t="s">
        <v>4984</v>
      </c>
      <c r="D1143" t="s">
        <v>3080</v>
      </c>
      <c r="E1143" t="s">
        <v>4775</v>
      </c>
      <c r="F1143">
        <v>2016</v>
      </c>
      <c r="G1143" t="s">
        <v>355</v>
      </c>
      <c r="H1143" t="s">
        <v>4985</v>
      </c>
      <c r="I1143" t="s">
        <v>4986</v>
      </c>
      <c r="J1143" t="s">
        <v>2437</v>
      </c>
      <c r="K1143" t="s">
        <v>25</v>
      </c>
      <c r="L1143" t="b">
        <v>1</v>
      </c>
      <c r="M1143" t="s">
        <v>4987</v>
      </c>
      <c r="N1143" t="str">
        <f>"791.32"</f>
        <v>791.32</v>
      </c>
      <c r="O1143" t="s">
        <v>4988</v>
      </c>
      <c r="P1143" t="b">
        <v>0</v>
      </c>
      <c r="Q1143" t="b">
        <v>0</v>
      </c>
      <c r="R1143" t="str">
        <f>"9783958080386"</f>
        <v>9783958080386</v>
      </c>
      <c r="S1143" t="str">
        <f>"9783958081017"</f>
        <v>9783958081017</v>
      </c>
      <c r="T1143">
        <v>976434391</v>
      </c>
    </row>
    <row r="1144" spans="1:20" x14ac:dyDescent="0.3">
      <c r="A1144">
        <v>1487186</v>
      </c>
      <c r="B1144" t="s">
        <v>4989</v>
      </c>
      <c r="C1144" t="s">
        <v>4990</v>
      </c>
      <c r="D1144" t="s">
        <v>3080</v>
      </c>
      <c r="E1144" t="s">
        <v>4775</v>
      </c>
      <c r="F1144">
        <v>2016</v>
      </c>
      <c r="G1144" t="s">
        <v>851</v>
      </c>
      <c r="H1144" t="s">
        <v>4991</v>
      </c>
      <c r="I1144" t="s">
        <v>4992</v>
      </c>
      <c r="J1144" t="s">
        <v>2437</v>
      </c>
      <c r="K1144" t="s">
        <v>25</v>
      </c>
      <c r="L1144" t="b">
        <v>1</v>
      </c>
      <c r="M1144" t="s">
        <v>4993</v>
      </c>
      <c r="N1144" t="str">
        <f>"305.8"</f>
        <v>305.8</v>
      </c>
      <c r="P1144" t="b">
        <v>0</v>
      </c>
      <c r="Q1144" t="b">
        <v>0</v>
      </c>
      <c r="R1144" t="str">
        <f>"9783958080348"</f>
        <v>9783958080348</v>
      </c>
      <c r="S1144" t="str">
        <f>"9783958080973"</f>
        <v>9783958080973</v>
      </c>
      <c r="T1144">
        <v>976435080</v>
      </c>
    </row>
    <row r="1145" spans="1:20" x14ac:dyDescent="0.3">
      <c r="A1145">
        <v>1487185</v>
      </c>
      <c r="B1145" t="s">
        <v>4994</v>
      </c>
      <c r="D1145" t="s">
        <v>3080</v>
      </c>
      <c r="E1145" t="s">
        <v>4775</v>
      </c>
      <c r="F1145">
        <v>2016</v>
      </c>
      <c r="G1145" t="s">
        <v>4829</v>
      </c>
      <c r="H1145" t="s">
        <v>4995</v>
      </c>
      <c r="I1145" t="s">
        <v>4996</v>
      </c>
      <c r="J1145" t="s">
        <v>2437</v>
      </c>
      <c r="K1145" t="s">
        <v>25</v>
      </c>
      <c r="L1145" t="b">
        <v>1</v>
      </c>
      <c r="M1145" t="s">
        <v>4997</v>
      </c>
      <c r="N1145" t="str">
        <f>"612.3"</f>
        <v>612.3</v>
      </c>
      <c r="O1145" t="s">
        <v>4998</v>
      </c>
      <c r="P1145" t="b">
        <v>0</v>
      </c>
      <c r="Q1145" t="b">
        <v>0</v>
      </c>
      <c r="R1145" t="str">
        <f>"9783958080034"</f>
        <v>9783958080034</v>
      </c>
      <c r="S1145" t="str">
        <f>"9783958080904"</f>
        <v>9783958080904</v>
      </c>
      <c r="T1145">
        <v>976434390</v>
      </c>
    </row>
    <row r="1146" spans="1:20" x14ac:dyDescent="0.3">
      <c r="A1146">
        <v>1487184</v>
      </c>
      <c r="B1146" t="s">
        <v>4999</v>
      </c>
      <c r="D1146" t="s">
        <v>3080</v>
      </c>
      <c r="E1146" t="s">
        <v>4775</v>
      </c>
      <c r="F1146">
        <v>2016</v>
      </c>
      <c r="G1146" t="s">
        <v>5000</v>
      </c>
      <c r="H1146" t="s">
        <v>5001</v>
      </c>
      <c r="I1146" t="s">
        <v>5002</v>
      </c>
      <c r="J1146" t="s">
        <v>2437</v>
      </c>
      <c r="K1146" t="s">
        <v>25</v>
      </c>
      <c r="L1146" t="b">
        <v>1</v>
      </c>
      <c r="M1146" t="s">
        <v>5003</v>
      </c>
      <c r="N1146" t="str">
        <f>"790"</f>
        <v>790</v>
      </c>
      <c r="P1146" t="b">
        <v>0</v>
      </c>
      <c r="Q1146" t="b">
        <v>0</v>
      </c>
      <c r="R1146" t="str">
        <f>"9783958080287"</f>
        <v>9783958080287</v>
      </c>
      <c r="S1146" t="str">
        <f>"9783958080881"</f>
        <v>9783958080881</v>
      </c>
      <c r="T1146">
        <v>976435005</v>
      </c>
    </row>
    <row r="1147" spans="1:20" x14ac:dyDescent="0.3">
      <c r="A1147">
        <v>1487183</v>
      </c>
      <c r="B1147" t="s">
        <v>5004</v>
      </c>
      <c r="C1147" t="s">
        <v>5005</v>
      </c>
      <c r="D1147" t="s">
        <v>3080</v>
      </c>
      <c r="E1147" t="s">
        <v>4775</v>
      </c>
      <c r="F1147">
        <v>2016</v>
      </c>
      <c r="G1147" t="s">
        <v>5006</v>
      </c>
      <c r="H1147" t="s">
        <v>5007</v>
      </c>
      <c r="I1147" t="s">
        <v>5008</v>
      </c>
      <c r="J1147" t="s">
        <v>2437</v>
      </c>
      <c r="K1147" t="s">
        <v>25</v>
      </c>
      <c r="L1147" t="b">
        <v>1</v>
      </c>
      <c r="M1147" t="s">
        <v>5009</v>
      </c>
      <c r="N1147" t="str">
        <f>"290"</f>
        <v>290</v>
      </c>
      <c r="O1147" t="s">
        <v>5010</v>
      </c>
      <c r="P1147" t="b">
        <v>0</v>
      </c>
      <c r="Q1147" t="b">
        <v>0</v>
      </c>
      <c r="R1147" t="str">
        <f>"9783958080270"</f>
        <v>9783958080270</v>
      </c>
      <c r="S1147" t="str">
        <f>"9783958080874"</f>
        <v>9783958080874</v>
      </c>
      <c r="T1147">
        <v>976435006</v>
      </c>
    </row>
    <row r="1148" spans="1:20" x14ac:dyDescent="0.3">
      <c r="A1148">
        <v>1487182</v>
      </c>
      <c r="B1148" t="s">
        <v>5011</v>
      </c>
      <c r="D1148" t="s">
        <v>3080</v>
      </c>
      <c r="E1148" t="s">
        <v>4775</v>
      </c>
      <c r="F1148">
        <v>2016</v>
      </c>
      <c r="G1148" t="s">
        <v>899</v>
      </c>
      <c r="H1148" t="s">
        <v>5012</v>
      </c>
      <c r="I1148" t="s">
        <v>5013</v>
      </c>
      <c r="J1148" t="s">
        <v>2437</v>
      </c>
      <c r="K1148" t="s">
        <v>25</v>
      </c>
      <c r="L1148" t="b">
        <v>1</v>
      </c>
      <c r="M1148" t="s">
        <v>5014</v>
      </c>
      <c r="N1148" t="str">
        <f>"792"</f>
        <v>792</v>
      </c>
      <c r="O1148" t="s">
        <v>5015</v>
      </c>
      <c r="P1148" t="b">
        <v>0</v>
      </c>
      <c r="Q1148" t="b">
        <v>0</v>
      </c>
      <c r="R1148" t="str">
        <f>"9783958080072"</f>
        <v>9783958080072</v>
      </c>
      <c r="S1148" t="str">
        <f>"9783958080829"</f>
        <v>9783958080829</v>
      </c>
      <c r="T1148">
        <v>976435045</v>
      </c>
    </row>
    <row r="1149" spans="1:20" x14ac:dyDescent="0.3">
      <c r="A1149">
        <v>1487181</v>
      </c>
      <c r="B1149" t="s">
        <v>5016</v>
      </c>
      <c r="C1149" t="s">
        <v>5017</v>
      </c>
      <c r="D1149" t="s">
        <v>3080</v>
      </c>
      <c r="E1149" t="s">
        <v>4775</v>
      </c>
      <c r="F1149">
        <v>2016</v>
      </c>
      <c r="H1149" t="s">
        <v>5018</v>
      </c>
      <c r="I1149" t="s">
        <v>5019</v>
      </c>
      <c r="J1149" t="s">
        <v>2437</v>
      </c>
      <c r="K1149" t="s">
        <v>25</v>
      </c>
      <c r="L1149" t="b">
        <v>1</v>
      </c>
      <c r="M1149" t="s">
        <v>5020</v>
      </c>
      <c r="N1149" t="str">
        <f>"300"</f>
        <v>300</v>
      </c>
      <c r="O1149" t="s">
        <v>4979</v>
      </c>
      <c r="P1149" t="b">
        <v>0</v>
      </c>
      <c r="Q1149" t="b">
        <v>0</v>
      </c>
      <c r="R1149" t="str">
        <f>"9783958080157"</f>
        <v>9783958080157</v>
      </c>
      <c r="S1149" t="str">
        <f>"9783958080584"</f>
        <v>9783958080584</v>
      </c>
      <c r="T1149">
        <v>976434699</v>
      </c>
    </row>
    <row r="1150" spans="1:20" x14ac:dyDescent="0.3">
      <c r="A1150">
        <v>1487180</v>
      </c>
      <c r="B1150" t="s">
        <v>5021</v>
      </c>
      <c r="C1150" t="s">
        <v>5022</v>
      </c>
      <c r="D1150" t="s">
        <v>3080</v>
      </c>
      <c r="E1150" t="s">
        <v>4775</v>
      </c>
      <c r="F1150">
        <v>2016</v>
      </c>
      <c r="G1150" t="s">
        <v>5023</v>
      </c>
      <c r="H1150" t="s">
        <v>5024</v>
      </c>
      <c r="I1150" t="s">
        <v>5025</v>
      </c>
      <c r="J1150" t="s">
        <v>2437</v>
      </c>
      <c r="K1150" t="s">
        <v>25</v>
      </c>
      <c r="L1150" t="b">
        <v>1</v>
      </c>
      <c r="M1150" t="s">
        <v>5026</v>
      </c>
      <c r="N1150" t="str">
        <f>"900"</f>
        <v>900</v>
      </c>
      <c r="O1150" t="s">
        <v>5027</v>
      </c>
      <c r="P1150" t="b">
        <v>0</v>
      </c>
      <c r="Q1150" t="b">
        <v>0</v>
      </c>
      <c r="R1150" t="str">
        <f>"9783958080171"</f>
        <v>9783958080171</v>
      </c>
      <c r="S1150" t="str">
        <f>"9783958080577"</f>
        <v>9783958080577</v>
      </c>
      <c r="T1150">
        <v>976435046</v>
      </c>
    </row>
    <row r="1151" spans="1:20" x14ac:dyDescent="0.3">
      <c r="A1151">
        <v>1487179</v>
      </c>
      <c r="B1151" t="s">
        <v>5028</v>
      </c>
      <c r="C1151" t="s">
        <v>5029</v>
      </c>
      <c r="D1151" t="s">
        <v>3080</v>
      </c>
      <c r="E1151" t="s">
        <v>4775</v>
      </c>
      <c r="F1151">
        <v>2016</v>
      </c>
      <c r="G1151" t="s">
        <v>256</v>
      </c>
      <c r="H1151" t="s">
        <v>5030</v>
      </c>
      <c r="I1151" t="s">
        <v>5031</v>
      </c>
      <c r="J1151" t="s">
        <v>2437</v>
      </c>
      <c r="K1151" t="s">
        <v>25</v>
      </c>
      <c r="L1151" t="b">
        <v>1</v>
      </c>
      <c r="M1151" t="s">
        <v>5032</v>
      </c>
      <c r="N1151" t="str">
        <f>"900"</f>
        <v>900</v>
      </c>
      <c r="P1151" t="b">
        <v>0</v>
      </c>
      <c r="Q1151" t="b">
        <v>0</v>
      </c>
      <c r="R1151" t="str">
        <f>"9783958080065"</f>
        <v>9783958080065</v>
      </c>
      <c r="S1151" t="str">
        <f>"9783958080508"</f>
        <v>9783958080508</v>
      </c>
      <c r="T1151">
        <v>976435107</v>
      </c>
    </row>
    <row r="1152" spans="1:20" x14ac:dyDescent="0.3">
      <c r="A1152">
        <v>1487178</v>
      </c>
      <c r="B1152" t="s">
        <v>5033</v>
      </c>
      <c r="C1152" t="s">
        <v>5034</v>
      </c>
      <c r="D1152" t="s">
        <v>3080</v>
      </c>
      <c r="E1152" t="s">
        <v>4775</v>
      </c>
      <c r="F1152">
        <v>2016</v>
      </c>
      <c r="G1152" t="s">
        <v>899</v>
      </c>
      <c r="H1152" t="s">
        <v>5035</v>
      </c>
      <c r="I1152" t="s">
        <v>5036</v>
      </c>
      <c r="J1152" t="s">
        <v>2437</v>
      </c>
      <c r="K1152" t="s">
        <v>25</v>
      </c>
      <c r="L1152" t="b">
        <v>1</v>
      </c>
      <c r="M1152" t="s">
        <v>5037</v>
      </c>
      <c r="N1152" t="str">
        <f>"792.09564"</f>
        <v>792.09564</v>
      </c>
      <c r="O1152" t="s">
        <v>5010</v>
      </c>
      <c r="P1152" t="b">
        <v>0</v>
      </c>
      <c r="Q1152" t="b">
        <v>0</v>
      </c>
      <c r="R1152" t="str">
        <f>"9783958080195"</f>
        <v>9783958080195</v>
      </c>
      <c r="S1152" t="str">
        <f>"9783943414905"</f>
        <v>9783943414905</v>
      </c>
      <c r="T1152">
        <v>976434389</v>
      </c>
    </row>
    <row r="1153" spans="1:20" x14ac:dyDescent="0.3">
      <c r="A1153">
        <v>1487177</v>
      </c>
      <c r="B1153" t="s">
        <v>5038</v>
      </c>
      <c r="C1153" t="s">
        <v>5039</v>
      </c>
      <c r="D1153" t="s">
        <v>3080</v>
      </c>
      <c r="E1153" t="s">
        <v>4775</v>
      </c>
      <c r="F1153">
        <v>2016</v>
      </c>
      <c r="H1153" t="s">
        <v>5040</v>
      </c>
      <c r="I1153" t="s">
        <v>5041</v>
      </c>
      <c r="J1153" t="s">
        <v>2437</v>
      </c>
      <c r="K1153" t="s">
        <v>25</v>
      </c>
      <c r="L1153" t="b">
        <v>1</v>
      </c>
      <c r="M1153" t="s">
        <v>5042</v>
      </c>
      <c r="N1153" t="str">
        <f>"790"</f>
        <v>790</v>
      </c>
      <c r="P1153" t="b">
        <v>0</v>
      </c>
      <c r="Q1153" t="b">
        <v>0</v>
      </c>
      <c r="R1153" t="str">
        <f>"9783943414608"</f>
        <v>9783943414608</v>
      </c>
      <c r="S1153" t="str">
        <f>"9783943414813"</f>
        <v>9783943414813</v>
      </c>
      <c r="T1153">
        <v>976435083</v>
      </c>
    </row>
    <row r="1154" spans="1:20" x14ac:dyDescent="0.3">
      <c r="A1154">
        <v>1486118</v>
      </c>
      <c r="B1154" t="s">
        <v>5043</v>
      </c>
      <c r="D1154" t="s">
        <v>3445</v>
      </c>
      <c r="E1154" t="s">
        <v>3446</v>
      </c>
      <c r="F1154">
        <v>2017</v>
      </c>
      <c r="G1154" t="s">
        <v>2650</v>
      </c>
      <c r="H1154" t="s">
        <v>5044</v>
      </c>
      <c r="I1154" t="s">
        <v>5045</v>
      </c>
      <c r="J1154" t="s">
        <v>24</v>
      </c>
      <c r="K1154" t="s">
        <v>55</v>
      </c>
      <c r="L1154" t="b">
        <v>1</v>
      </c>
      <c r="M1154" t="s">
        <v>5046</v>
      </c>
      <c r="N1154" t="str">
        <f>"658.11"</f>
        <v>658.11</v>
      </c>
      <c r="P1154" t="b">
        <v>0</v>
      </c>
      <c r="Q1154" t="b">
        <v>0</v>
      </c>
      <c r="R1154" t="str">
        <f>"9781562867737"</f>
        <v>9781562867737</v>
      </c>
      <c r="S1154" t="str">
        <f>"9781562867751"</f>
        <v>9781562867751</v>
      </c>
      <c r="T1154">
        <v>976166607</v>
      </c>
    </row>
    <row r="1155" spans="1:20" x14ac:dyDescent="0.3">
      <c r="A1155">
        <v>1485372</v>
      </c>
      <c r="B1155" t="s">
        <v>5047</v>
      </c>
      <c r="D1155" t="s">
        <v>4725</v>
      </c>
      <c r="E1155" t="s">
        <v>4726</v>
      </c>
      <c r="F1155">
        <v>2017</v>
      </c>
      <c r="J1155" t="s">
        <v>580</v>
      </c>
      <c r="K1155" t="s">
        <v>55</v>
      </c>
      <c r="L1155" t="b">
        <v>1</v>
      </c>
      <c r="M1155" t="s">
        <v>5048</v>
      </c>
      <c r="P1155" t="b">
        <v>0</v>
      </c>
      <c r="Q1155" t="b">
        <v>0</v>
      </c>
      <c r="R1155" t="str">
        <f>"9786074629859"</f>
        <v>9786074629859</v>
      </c>
      <c r="S1155" t="str">
        <f>"9786076281543"</f>
        <v>9786076281543</v>
      </c>
    </row>
    <row r="1156" spans="1:20" x14ac:dyDescent="0.3">
      <c r="A1156">
        <v>1485225</v>
      </c>
      <c r="B1156" t="s">
        <v>5049</v>
      </c>
      <c r="C1156" t="s">
        <v>5050</v>
      </c>
      <c r="D1156" t="s">
        <v>3158</v>
      </c>
      <c r="E1156" t="s">
        <v>3158</v>
      </c>
      <c r="F1156">
        <v>2017</v>
      </c>
      <c r="G1156" t="s">
        <v>3832</v>
      </c>
      <c r="H1156" t="s">
        <v>5051</v>
      </c>
      <c r="I1156" t="s">
        <v>5052</v>
      </c>
      <c r="J1156" t="s">
        <v>2437</v>
      </c>
      <c r="K1156" t="s">
        <v>25</v>
      </c>
      <c r="L1156" t="b">
        <v>1</v>
      </c>
      <c r="M1156" t="s">
        <v>5053</v>
      </c>
      <c r="N1156" t="str">
        <f>"150"</f>
        <v>150</v>
      </c>
      <c r="O1156" t="s">
        <v>5054</v>
      </c>
      <c r="P1156" t="b">
        <v>0</v>
      </c>
      <c r="R1156" t="str">
        <f>"9783830935964"</f>
        <v>9783830935964</v>
      </c>
      <c r="S1156" t="str">
        <f>"9783830985969"</f>
        <v>9783830985969</v>
      </c>
      <c r="T1156">
        <v>978650240</v>
      </c>
    </row>
    <row r="1157" spans="1:20" x14ac:dyDescent="0.3">
      <c r="A1157">
        <v>1485223</v>
      </c>
      <c r="B1157" t="s">
        <v>5055</v>
      </c>
      <c r="C1157" t="s">
        <v>5056</v>
      </c>
      <c r="D1157" t="s">
        <v>3158</v>
      </c>
      <c r="E1157" t="s">
        <v>3158</v>
      </c>
      <c r="F1157">
        <v>2017</v>
      </c>
      <c r="G1157" t="s">
        <v>3342</v>
      </c>
      <c r="H1157" t="s">
        <v>5057</v>
      </c>
      <c r="I1157" t="s">
        <v>5058</v>
      </c>
      <c r="J1157" t="s">
        <v>2437</v>
      </c>
      <c r="K1157" t="s">
        <v>25</v>
      </c>
      <c r="L1157" t="b">
        <v>1</v>
      </c>
      <c r="M1157" t="s">
        <v>5059</v>
      </c>
      <c r="N1157" t="str">
        <f>"370.72"</f>
        <v>370.72</v>
      </c>
      <c r="O1157" t="s">
        <v>5060</v>
      </c>
      <c r="P1157" t="b">
        <v>0</v>
      </c>
      <c r="R1157" t="str">
        <f>"9783830935827"</f>
        <v>9783830935827</v>
      </c>
      <c r="S1157" t="str">
        <f>"9783830985822"</f>
        <v>9783830985822</v>
      </c>
      <c r="T1157">
        <v>978662858</v>
      </c>
    </row>
    <row r="1158" spans="1:20" x14ac:dyDescent="0.3">
      <c r="A1158">
        <v>1485222</v>
      </c>
      <c r="B1158" t="s">
        <v>5061</v>
      </c>
      <c r="D1158" t="s">
        <v>3158</v>
      </c>
      <c r="E1158" t="s">
        <v>3158</v>
      </c>
      <c r="F1158">
        <v>2017</v>
      </c>
      <c r="G1158" t="s">
        <v>3159</v>
      </c>
      <c r="H1158" t="s">
        <v>5062</v>
      </c>
      <c r="I1158" t="s">
        <v>5063</v>
      </c>
      <c r="J1158" t="s">
        <v>2437</v>
      </c>
      <c r="K1158" t="s">
        <v>25</v>
      </c>
      <c r="L1158" t="b">
        <v>1</v>
      </c>
      <c r="M1158" t="s">
        <v>5064</v>
      </c>
      <c r="N1158" t="str">
        <f>"309"</f>
        <v>309</v>
      </c>
      <c r="O1158" t="s">
        <v>5065</v>
      </c>
      <c r="P1158" t="b">
        <v>0</v>
      </c>
      <c r="R1158" t="str">
        <f>"9783830935674"</f>
        <v>9783830935674</v>
      </c>
      <c r="S1158" t="str">
        <f>"9783830985679"</f>
        <v>9783830985679</v>
      </c>
      <c r="T1158">
        <v>978537329</v>
      </c>
    </row>
    <row r="1159" spans="1:20" x14ac:dyDescent="0.3">
      <c r="A1159">
        <v>1485221</v>
      </c>
      <c r="B1159" t="s">
        <v>5066</v>
      </c>
      <c r="C1159" t="s">
        <v>5067</v>
      </c>
      <c r="D1159" t="s">
        <v>3158</v>
      </c>
      <c r="E1159" t="s">
        <v>3158</v>
      </c>
      <c r="F1159">
        <v>2017</v>
      </c>
      <c r="G1159" t="s">
        <v>3165</v>
      </c>
      <c r="H1159" t="s">
        <v>5068</v>
      </c>
      <c r="I1159" t="s">
        <v>5069</v>
      </c>
      <c r="J1159" t="s">
        <v>2437</v>
      </c>
      <c r="K1159" t="s">
        <v>25</v>
      </c>
      <c r="L1159" t="b">
        <v>1</v>
      </c>
      <c r="M1159" t="s">
        <v>5070</v>
      </c>
      <c r="N1159" t="str">
        <f>"370"</f>
        <v>370</v>
      </c>
      <c r="O1159" t="s">
        <v>5071</v>
      </c>
      <c r="P1159" t="b">
        <v>0</v>
      </c>
      <c r="R1159" t="str">
        <f>"9783830935568"</f>
        <v>9783830935568</v>
      </c>
      <c r="S1159" t="str">
        <f>"9783830985563"</f>
        <v>9783830985563</v>
      </c>
      <c r="T1159">
        <v>978597675</v>
      </c>
    </row>
    <row r="1160" spans="1:20" x14ac:dyDescent="0.3">
      <c r="A1160">
        <v>1485220</v>
      </c>
      <c r="B1160" t="s">
        <v>5072</v>
      </c>
      <c r="C1160" t="s">
        <v>5073</v>
      </c>
      <c r="D1160" t="s">
        <v>3158</v>
      </c>
      <c r="E1160" t="s">
        <v>3158</v>
      </c>
      <c r="F1160">
        <v>2017</v>
      </c>
      <c r="G1160" t="s">
        <v>4622</v>
      </c>
      <c r="H1160" t="s">
        <v>5074</v>
      </c>
      <c r="I1160" t="s">
        <v>5075</v>
      </c>
      <c r="J1160" t="s">
        <v>2437</v>
      </c>
      <c r="K1160" t="s">
        <v>25</v>
      </c>
      <c r="L1160" t="b">
        <v>1</v>
      </c>
      <c r="M1160" t="s">
        <v>5076</v>
      </c>
      <c r="N1160" t="str">
        <f>"780"</f>
        <v>780</v>
      </c>
      <c r="P1160" t="b">
        <v>0</v>
      </c>
      <c r="R1160" t="str">
        <f>"9783830934561"</f>
        <v>9783830934561</v>
      </c>
      <c r="S1160" t="str">
        <f>"9783830984566"</f>
        <v>9783830984566</v>
      </c>
      <c r="T1160">
        <v>978612821</v>
      </c>
    </row>
    <row r="1161" spans="1:20" x14ac:dyDescent="0.3">
      <c r="A1161">
        <v>1485217</v>
      </c>
      <c r="B1161" t="s">
        <v>5077</v>
      </c>
      <c r="D1161" t="s">
        <v>3158</v>
      </c>
      <c r="E1161" t="s">
        <v>3158</v>
      </c>
      <c r="F1161">
        <v>2017</v>
      </c>
      <c r="G1161" t="s">
        <v>3153</v>
      </c>
      <c r="H1161" t="s">
        <v>5078</v>
      </c>
      <c r="I1161" t="s">
        <v>5079</v>
      </c>
      <c r="J1161" t="s">
        <v>2437</v>
      </c>
      <c r="K1161" t="s">
        <v>25</v>
      </c>
      <c r="L1161" t="b">
        <v>1</v>
      </c>
      <c r="M1161" t="s">
        <v>5080</v>
      </c>
      <c r="N1161" t="str">
        <f>"371.2"</f>
        <v>371.2</v>
      </c>
      <c r="O1161" t="s">
        <v>5081</v>
      </c>
      <c r="P1161" t="b">
        <v>0</v>
      </c>
      <c r="R1161" t="str">
        <f>"9783830934189"</f>
        <v>9783830934189</v>
      </c>
      <c r="S1161" t="str">
        <f>"9783830984184"</f>
        <v>9783830984184</v>
      </c>
      <c r="T1161">
        <v>978568882</v>
      </c>
    </row>
    <row r="1162" spans="1:20" x14ac:dyDescent="0.3">
      <c r="A1162">
        <v>1485216</v>
      </c>
      <c r="B1162" t="s">
        <v>5082</v>
      </c>
      <c r="C1162" t="s">
        <v>5083</v>
      </c>
      <c r="D1162" t="s">
        <v>3158</v>
      </c>
      <c r="E1162" t="s">
        <v>3158</v>
      </c>
      <c r="F1162">
        <v>2017</v>
      </c>
      <c r="G1162" t="s">
        <v>5084</v>
      </c>
      <c r="H1162" t="s">
        <v>5085</v>
      </c>
      <c r="I1162" t="s">
        <v>5086</v>
      </c>
      <c r="J1162" t="s">
        <v>2437</v>
      </c>
      <c r="K1162" t="s">
        <v>25</v>
      </c>
      <c r="L1162" t="b">
        <v>1</v>
      </c>
      <c r="M1162" t="s">
        <v>5087</v>
      </c>
      <c r="N1162" t="str">
        <f>"297.770943"</f>
        <v>297.770943</v>
      </c>
      <c r="O1162" t="s">
        <v>5088</v>
      </c>
      <c r="P1162" t="b">
        <v>0</v>
      </c>
      <c r="R1162" t="str">
        <f>"9783830935810"</f>
        <v>9783830935810</v>
      </c>
      <c r="S1162" t="str">
        <f>"9783830985815"</f>
        <v>9783830985815</v>
      </c>
      <c r="T1162">
        <v>978412919</v>
      </c>
    </row>
    <row r="1163" spans="1:20" x14ac:dyDescent="0.3">
      <c r="A1163">
        <v>1485214</v>
      </c>
      <c r="B1163" t="s">
        <v>5089</v>
      </c>
      <c r="C1163" t="s">
        <v>5090</v>
      </c>
      <c r="D1163" t="s">
        <v>3158</v>
      </c>
      <c r="E1163" t="s">
        <v>3158</v>
      </c>
      <c r="F1163">
        <v>2017</v>
      </c>
      <c r="G1163" t="s">
        <v>3165</v>
      </c>
      <c r="H1163" t="s">
        <v>5091</v>
      </c>
      <c r="I1163" t="s">
        <v>5092</v>
      </c>
      <c r="J1163" t="s">
        <v>2437</v>
      </c>
      <c r="K1163" t="s">
        <v>25</v>
      </c>
      <c r="L1163" t="b">
        <v>1</v>
      </c>
      <c r="M1163" t="s">
        <v>5093</v>
      </c>
      <c r="N1163" t="str">
        <f>"370.1"</f>
        <v>370.1</v>
      </c>
      <c r="P1163" t="b">
        <v>0</v>
      </c>
      <c r="R1163" t="str">
        <f>"9783830935797"</f>
        <v>9783830935797</v>
      </c>
      <c r="S1163" t="str">
        <f>"9783830985792"</f>
        <v>9783830985792</v>
      </c>
      <c r="T1163">
        <v>978472895</v>
      </c>
    </row>
    <row r="1164" spans="1:20" x14ac:dyDescent="0.3">
      <c r="A1164">
        <v>1485212</v>
      </c>
      <c r="B1164" t="s">
        <v>5094</v>
      </c>
      <c r="C1164" t="s">
        <v>5095</v>
      </c>
      <c r="D1164" t="s">
        <v>3158</v>
      </c>
      <c r="E1164" t="s">
        <v>3158</v>
      </c>
      <c r="F1164">
        <v>2017</v>
      </c>
      <c r="G1164" t="s">
        <v>5096</v>
      </c>
      <c r="H1164" t="s">
        <v>5097</v>
      </c>
      <c r="I1164" t="s">
        <v>5098</v>
      </c>
      <c r="J1164" t="s">
        <v>2437</v>
      </c>
      <c r="K1164" t="s">
        <v>25</v>
      </c>
      <c r="L1164" t="b">
        <v>1</v>
      </c>
      <c r="M1164" t="s">
        <v>5099</v>
      </c>
      <c r="N1164" t="str">
        <f>"796"</f>
        <v>796</v>
      </c>
      <c r="O1164" t="s">
        <v>5100</v>
      </c>
      <c r="P1164" t="b">
        <v>0</v>
      </c>
      <c r="R1164" t="str">
        <f>"9783830935865"</f>
        <v>9783830935865</v>
      </c>
      <c r="S1164" t="str">
        <f>"9783830985860"</f>
        <v>9783830985860</v>
      </c>
      <c r="T1164">
        <v>978541078</v>
      </c>
    </row>
    <row r="1165" spans="1:20" x14ac:dyDescent="0.3">
      <c r="A1165">
        <v>1485196</v>
      </c>
      <c r="B1165" t="s">
        <v>5101</v>
      </c>
      <c r="D1165" t="s">
        <v>3994</v>
      </c>
      <c r="E1165" t="s">
        <v>3995</v>
      </c>
      <c r="F1165">
        <v>2016</v>
      </c>
      <c r="J1165" t="s">
        <v>442</v>
      </c>
      <c r="K1165" t="s">
        <v>25</v>
      </c>
      <c r="L1165" t="b">
        <v>1</v>
      </c>
      <c r="M1165" t="s">
        <v>5102</v>
      </c>
      <c r="P1165" t="b">
        <v>0</v>
      </c>
      <c r="R1165" t="str">
        <f>"9781630810870"</f>
        <v>9781630810870</v>
      </c>
      <c r="S1165" t="str">
        <f>"9781630810887"</f>
        <v>9781630810887</v>
      </c>
    </row>
    <row r="1166" spans="1:20" x14ac:dyDescent="0.3">
      <c r="A1166">
        <v>1485168</v>
      </c>
      <c r="B1166" t="s">
        <v>5103</v>
      </c>
      <c r="D1166" t="s">
        <v>4767</v>
      </c>
      <c r="E1166" t="s">
        <v>4768</v>
      </c>
      <c r="F1166">
        <v>2017</v>
      </c>
      <c r="G1166" t="s">
        <v>5104</v>
      </c>
      <c r="H1166" t="s">
        <v>5105</v>
      </c>
      <c r="I1166" t="s">
        <v>5106</v>
      </c>
      <c r="J1166" t="s">
        <v>24</v>
      </c>
      <c r="K1166" t="s">
        <v>25</v>
      </c>
      <c r="L1166" t="b">
        <v>1</v>
      </c>
      <c r="M1166" t="s">
        <v>5107</v>
      </c>
      <c r="N1166" t="str">
        <f>"C811/.54"</f>
        <v>C811/.54</v>
      </c>
      <c r="O1166" t="s">
        <v>5108</v>
      </c>
      <c r="P1166" t="b">
        <v>0</v>
      </c>
      <c r="R1166" t="str">
        <f>"9781772122541"</f>
        <v>9781772122541</v>
      </c>
      <c r="S1166" t="str">
        <f>"9781772123074"</f>
        <v>9781772123074</v>
      </c>
      <c r="T1166">
        <v>966984068</v>
      </c>
    </row>
    <row r="1167" spans="1:20" x14ac:dyDescent="0.3">
      <c r="A1167">
        <v>1484967</v>
      </c>
      <c r="B1167" t="s">
        <v>5109</v>
      </c>
      <c r="C1167" t="s">
        <v>5110</v>
      </c>
      <c r="D1167" t="s">
        <v>3517</v>
      </c>
      <c r="E1167" t="s">
        <v>5111</v>
      </c>
      <c r="F1167">
        <v>2017</v>
      </c>
      <c r="G1167" t="s">
        <v>851</v>
      </c>
      <c r="H1167" t="s">
        <v>5112</v>
      </c>
      <c r="I1167" t="s">
        <v>5113</v>
      </c>
      <c r="J1167" t="s">
        <v>24</v>
      </c>
      <c r="K1167" t="s">
        <v>269</v>
      </c>
      <c r="L1167" t="b">
        <v>1</v>
      </c>
      <c r="M1167" t="s">
        <v>5114</v>
      </c>
      <c r="N1167" t="str">
        <f>"305.800973"</f>
        <v>305.800973</v>
      </c>
      <c r="P1167" t="b">
        <v>0</v>
      </c>
      <c r="Q1167" t="b">
        <v>0</v>
      </c>
      <c r="R1167" t="str">
        <f>"9781629220529"</f>
        <v>9781629220529</v>
      </c>
      <c r="S1167" t="str">
        <f>"9781629220536"</f>
        <v>9781629220536</v>
      </c>
      <c r="T1167">
        <v>971615747</v>
      </c>
    </row>
    <row r="1168" spans="1:20" x14ac:dyDescent="0.3">
      <c r="A1168">
        <v>1484355</v>
      </c>
      <c r="B1168" t="s">
        <v>5115</v>
      </c>
      <c r="C1168" t="s">
        <v>5116</v>
      </c>
      <c r="D1168" t="s">
        <v>3029</v>
      </c>
      <c r="E1168" t="s">
        <v>3030</v>
      </c>
      <c r="F1168">
        <v>2017</v>
      </c>
      <c r="G1168" t="s">
        <v>3121</v>
      </c>
      <c r="H1168" t="s">
        <v>5117</v>
      </c>
      <c r="I1168" t="s">
        <v>5118</v>
      </c>
      <c r="J1168" t="s">
        <v>24</v>
      </c>
      <c r="K1168" t="s">
        <v>25</v>
      </c>
      <c r="L1168" t="b">
        <v>1</v>
      </c>
      <c r="M1168" t="s">
        <v>5119</v>
      </c>
      <c r="N1168" t="str">
        <f>"495.15"</f>
        <v>495.15</v>
      </c>
      <c r="O1168" t="s">
        <v>5120</v>
      </c>
      <c r="P1168" t="b">
        <v>0</v>
      </c>
      <c r="R1168" t="str">
        <f>"9789027201881"</f>
        <v>9789027201881</v>
      </c>
      <c r="S1168" t="str">
        <f>"9789027266057"</f>
        <v>9789027266057</v>
      </c>
      <c r="T1168">
        <v>975272070</v>
      </c>
    </row>
    <row r="1169" spans="1:20" x14ac:dyDescent="0.3">
      <c r="A1169">
        <v>1484353</v>
      </c>
      <c r="B1169" t="s">
        <v>5121</v>
      </c>
      <c r="C1169" t="s">
        <v>5122</v>
      </c>
      <c r="D1169" t="s">
        <v>3029</v>
      </c>
      <c r="E1169" t="s">
        <v>3030</v>
      </c>
      <c r="F1169">
        <v>2017</v>
      </c>
      <c r="G1169" t="s">
        <v>3037</v>
      </c>
      <c r="H1169" t="s">
        <v>5123</v>
      </c>
      <c r="I1169" t="s">
        <v>5124</v>
      </c>
      <c r="J1169" t="s">
        <v>24</v>
      </c>
      <c r="K1169" t="s">
        <v>25</v>
      </c>
      <c r="L1169" t="b">
        <v>1</v>
      </c>
      <c r="M1169" t="s">
        <v>5125</v>
      </c>
      <c r="N1169" t="str">
        <f>"418/.020285"</f>
        <v>418/.020285</v>
      </c>
      <c r="O1169" t="s">
        <v>3041</v>
      </c>
      <c r="P1169" t="b">
        <v>0</v>
      </c>
      <c r="R1169" t="str">
        <f>"9789027258779"</f>
        <v>9789027258779</v>
      </c>
      <c r="S1169" t="str">
        <f>"9789027265852"</f>
        <v>9789027265852</v>
      </c>
      <c r="T1169">
        <v>975271974</v>
      </c>
    </row>
    <row r="1170" spans="1:20" x14ac:dyDescent="0.3">
      <c r="A1170">
        <v>1484352</v>
      </c>
      <c r="B1170" t="s">
        <v>5126</v>
      </c>
      <c r="C1170" t="s">
        <v>5127</v>
      </c>
      <c r="D1170" t="s">
        <v>3029</v>
      </c>
      <c r="E1170" t="s">
        <v>3030</v>
      </c>
      <c r="F1170">
        <v>2017</v>
      </c>
      <c r="G1170" t="s">
        <v>3044</v>
      </c>
      <c r="H1170" t="s">
        <v>5128</v>
      </c>
      <c r="I1170" t="s">
        <v>5129</v>
      </c>
      <c r="J1170" t="s">
        <v>24</v>
      </c>
      <c r="K1170" t="s">
        <v>25</v>
      </c>
      <c r="L1170" t="b">
        <v>1</v>
      </c>
      <c r="M1170" t="s">
        <v>5130</v>
      </c>
      <c r="N1170" t="str">
        <f>"306.44"</f>
        <v>306.44</v>
      </c>
      <c r="O1170" t="s">
        <v>5131</v>
      </c>
      <c r="P1170" t="b">
        <v>0</v>
      </c>
      <c r="R1170" t="str">
        <f>"9789027210463"</f>
        <v>9789027210463</v>
      </c>
      <c r="S1170" t="str">
        <f>"9789027265661"</f>
        <v>9789027265661</v>
      </c>
      <c r="T1170">
        <v>975271973</v>
      </c>
    </row>
    <row r="1171" spans="1:20" x14ac:dyDescent="0.3">
      <c r="A1171">
        <v>1484338</v>
      </c>
      <c r="B1171" t="s">
        <v>5132</v>
      </c>
      <c r="D1171" t="s">
        <v>5133</v>
      </c>
      <c r="E1171" t="s">
        <v>5133</v>
      </c>
      <c r="F1171">
        <v>2017</v>
      </c>
      <c r="J1171" t="s">
        <v>24</v>
      </c>
      <c r="K1171" t="s">
        <v>25</v>
      </c>
      <c r="L1171" t="b">
        <v>1</v>
      </c>
      <c r="M1171" t="s">
        <v>5134</v>
      </c>
      <c r="P1171" t="b">
        <v>0</v>
      </c>
      <c r="Q1171" t="b">
        <v>0</v>
      </c>
      <c r="R1171" t="str">
        <f>"9789221288817"</f>
        <v>9789221288817</v>
      </c>
      <c r="S1171" t="str">
        <f>"9789221288824"</f>
        <v>9789221288824</v>
      </c>
    </row>
    <row r="1172" spans="1:20" x14ac:dyDescent="0.3">
      <c r="A1172">
        <v>1484334</v>
      </c>
      <c r="B1172" t="s">
        <v>5135</v>
      </c>
      <c r="D1172" t="s">
        <v>5133</v>
      </c>
      <c r="E1172" t="s">
        <v>5133</v>
      </c>
      <c r="F1172">
        <v>2016</v>
      </c>
      <c r="J1172" t="s">
        <v>580</v>
      </c>
      <c r="K1172" t="s">
        <v>25</v>
      </c>
      <c r="L1172" t="b">
        <v>1</v>
      </c>
      <c r="M1172" t="s">
        <v>5134</v>
      </c>
      <c r="P1172" t="b">
        <v>0</v>
      </c>
      <c r="Q1172" t="b">
        <v>0</v>
      </c>
      <c r="S1172" t="str">
        <f>"9789223311674"</f>
        <v>9789223311674</v>
      </c>
    </row>
    <row r="1173" spans="1:20" x14ac:dyDescent="0.3">
      <c r="A1173">
        <v>1484333</v>
      </c>
      <c r="B1173" t="s">
        <v>5135</v>
      </c>
      <c r="D1173" t="s">
        <v>5133</v>
      </c>
      <c r="E1173" t="s">
        <v>5133</v>
      </c>
      <c r="F1173">
        <v>2017</v>
      </c>
      <c r="J1173" t="s">
        <v>580</v>
      </c>
      <c r="K1173" t="s">
        <v>25</v>
      </c>
      <c r="L1173" t="b">
        <v>1</v>
      </c>
      <c r="M1173" t="s">
        <v>5134</v>
      </c>
      <c r="P1173" t="b">
        <v>0</v>
      </c>
      <c r="Q1173" t="b">
        <v>0</v>
      </c>
      <c r="R1173" t="str">
        <f>"9789223310943"</f>
        <v>9789223310943</v>
      </c>
      <c r="S1173" t="str">
        <f>"9789223310950"</f>
        <v>9789223310950</v>
      </c>
    </row>
    <row r="1174" spans="1:20" x14ac:dyDescent="0.3">
      <c r="A1174">
        <v>1484332</v>
      </c>
      <c r="B1174" t="s">
        <v>5136</v>
      </c>
      <c r="D1174" t="s">
        <v>5133</v>
      </c>
      <c r="E1174" t="s">
        <v>5133</v>
      </c>
      <c r="F1174">
        <v>2016</v>
      </c>
      <c r="J1174" t="s">
        <v>543</v>
      </c>
      <c r="K1174" t="s">
        <v>25</v>
      </c>
      <c r="L1174" t="b">
        <v>1</v>
      </c>
      <c r="M1174" t="s">
        <v>5134</v>
      </c>
      <c r="P1174" t="b">
        <v>0</v>
      </c>
      <c r="Q1174" t="b">
        <v>0</v>
      </c>
      <c r="S1174" t="str">
        <f>"9789222311163"</f>
        <v>9789222311163</v>
      </c>
    </row>
    <row r="1175" spans="1:20" x14ac:dyDescent="0.3">
      <c r="A1175">
        <v>1484331</v>
      </c>
      <c r="B1175" t="s">
        <v>5136</v>
      </c>
      <c r="D1175" t="s">
        <v>5133</v>
      </c>
      <c r="E1175" t="s">
        <v>5133</v>
      </c>
      <c r="F1175">
        <v>2017</v>
      </c>
      <c r="J1175" t="s">
        <v>543</v>
      </c>
      <c r="K1175" t="s">
        <v>25</v>
      </c>
      <c r="L1175" t="b">
        <v>1</v>
      </c>
      <c r="M1175" t="s">
        <v>5134</v>
      </c>
      <c r="P1175" t="b">
        <v>0</v>
      </c>
      <c r="Q1175" t="b">
        <v>0</v>
      </c>
      <c r="R1175" t="str">
        <f>"9789222310647"</f>
        <v>9789222310647</v>
      </c>
      <c r="S1175" t="str">
        <f>"9789222310654"</f>
        <v>9789222310654</v>
      </c>
    </row>
    <row r="1176" spans="1:20" x14ac:dyDescent="0.3">
      <c r="A1176">
        <v>1484330</v>
      </c>
      <c r="B1176" t="s">
        <v>5137</v>
      </c>
      <c r="C1176" t="s">
        <v>5138</v>
      </c>
      <c r="D1176" t="s">
        <v>5133</v>
      </c>
      <c r="E1176" t="s">
        <v>5133</v>
      </c>
      <c r="F1176">
        <v>2016</v>
      </c>
      <c r="G1176" t="s">
        <v>1745</v>
      </c>
      <c r="H1176" t="s">
        <v>5139</v>
      </c>
      <c r="I1176" t="s">
        <v>5140</v>
      </c>
      <c r="J1176" t="s">
        <v>543</v>
      </c>
      <c r="K1176" t="s">
        <v>25</v>
      </c>
      <c r="L1176" t="b">
        <v>1</v>
      </c>
      <c r="M1176" t="s">
        <v>5134</v>
      </c>
      <c r="N1176" t="str">
        <f>"331.4"</f>
        <v>331.4</v>
      </c>
      <c r="P1176" t="b">
        <v>0</v>
      </c>
      <c r="Q1176" t="b">
        <v>0</v>
      </c>
      <c r="R1176" t="str">
        <f>"9789222310623"</f>
        <v>9789222310623</v>
      </c>
      <c r="S1176" t="str">
        <f>"9789222310630"</f>
        <v>9789222310630</v>
      </c>
      <c r="T1176">
        <v>1012609243</v>
      </c>
    </row>
    <row r="1177" spans="1:20" x14ac:dyDescent="0.3">
      <c r="A1177">
        <v>1484329</v>
      </c>
      <c r="B1177" t="s">
        <v>5141</v>
      </c>
      <c r="D1177" t="s">
        <v>5133</v>
      </c>
      <c r="E1177" t="s">
        <v>5133</v>
      </c>
      <c r="F1177">
        <v>2017</v>
      </c>
      <c r="J1177" t="s">
        <v>580</v>
      </c>
      <c r="K1177" t="s">
        <v>25</v>
      </c>
      <c r="L1177" t="b">
        <v>1</v>
      </c>
      <c r="M1177" t="s">
        <v>5134</v>
      </c>
      <c r="P1177" t="b">
        <v>0</v>
      </c>
      <c r="Q1177" t="b">
        <v>0</v>
      </c>
      <c r="R1177" t="str">
        <f>"9789223310882"</f>
        <v>9789223310882</v>
      </c>
      <c r="S1177" t="str">
        <f>"9789223310899"</f>
        <v>9789223310899</v>
      </c>
    </row>
    <row r="1178" spans="1:20" x14ac:dyDescent="0.3">
      <c r="A1178">
        <v>1484067</v>
      </c>
      <c r="B1178" t="s">
        <v>5142</v>
      </c>
      <c r="C1178" t="s">
        <v>5143</v>
      </c>
      <c r="D1178" t="s">
        <v>3517</v>
      </c>
      <c r="E1178" t="s">
        <v>3518</v>
      </c>
      <c r="F1178">
        <v>2016</v>
      </c>
      <c r="G1178" t="s">
        <v>569</v>
      </c>
      <c r="H1178" t="s">
        <v>5144</v>
      </c>
      <c r="I1178" t="s">
        <v>5145</v>
      </c>
      <c r="J1178" t="s">
        <v>580</v>
      </c>
      <c r="K1178" t="s">
        <v>269</v>
      </c>
      <c r="L1178" t="b">
        <v>1</v>
      </c>
      <c r="M1178" t="s">
        <v>5146</v>
      </c>
      <c r="N1178" t="str">
        <f>"860.9895108"</f>
        <v>860.9895108</v>
      </c>
      <c r="O1178" t="s">
        <v>4345</v>
      </c>
      <c r="P1178" t="b">
        <v>0</v>
      </c>
      <c r="Q1178" t="b">
        <v>0</v>
      </c>
      <c r="R1178" t="str">
        <f>"9781557537485"</f>
        <v>9781557537485</v>
      </c>
      <c r="S1178" t="str">
        <f>"9781612494647"</f>
        <v>9781612494647</v>
      </c>
      <c r="T1178">
        <v>974753340</v>
      </c>
    </row>
    <row r="1179" spans="1:20" x14ac:dyDescent="0.3">
      <c r="A1179">
        <v>1484061</v>
      </c>
      <c r="B1179" t="s">
        <v>5147</v>
      </c>
      <c r="C1179" t="s">
        <v>5148</v>
      </c>
      <c r="D1179" t="s">
        <v>3517</v>
      </c>
      <c r="E1179" t="s">
        <v>3518</v>
      </c>
      <c r="F1179">
        <v>2017</v>
      </c>
      <c r="G1179" t="s">
        <v>5149</v>
      </c>
      <c r="H1179" t="s">
        <v>5150</v>
      </c>
      <c r="I1179" t="s">
        <v>5151</v>
      </c>
      <c r="J1179" t="s">
        <v>580</v>
      </c>
      <c r="K1179" t="s">
        <v>269</v>
      </c>
      <c r="L1179" t="b">
        <v>1</v>
      </c>
      <c r="M1179" t="s">
        <v>5152</v>
      </c>
      <c r="N1179" t="str">
        <f>"306.098/0904"</f>
        <v>306.098/0904</v>
      </c>
      <c r="O1179" t="s">
        <v>4345</v>
      </c>
      <c r="P1179" t="b">
        <v>0</v>
      </c>
      <c r="Q1179" t="b">
        <v>0</v>
      </c>
      <c r="R1179" t="str">
        <f>"9781557537614"</f>
        <v>9781557537614</v>
      </c>
      <c r="S1179" t="str">
        <f>"9781612494746"</f>
        <v>9781612494746</v>
      </c>
      <c r="T1179">
        <v>966771395</v>
      </c>
    </row>
    <row r="1180" spans="1:20" x14ac:dyDescent="0.3">
      <c r="A1180">
        <v>1484050</v>
      </c>
      <c r="B1180" t="s">
        <v>5153</v>
      </c>
      <c r="D1180" t="s">
        <v>4725</v>
      </c>
      <c r="E1180" t="s">
        <v>4726</v>
      </c>
      <c r="F1180">
        <v>2016</v>
      </c>
      <c r="G1180" t="s">
        <v>97</v>
      </c>
      <c r="H1180" t="s">
        <v>5154</v>
      </c>
      <c r="I1180" t="s">
        <v>5155</v>
      </c>
      <c r="J1180" t="s">
        <v>580</v>
      </c>
      <c r="K1180" t="s">
        <v>55</v>
      </c>
      <c r="L1180" t="b">
        <v>1</v>
      </c>
      <c r="M1180" t="s">
        <v>5156</v>
      </c>
      <c r="N1180" t="str">
        <f>"303.69"</f>
        <v>303.69</v>
      </c>
      <c r="P1180" t="b">
        <v>0</v>
      </c>
      <c r="Q1180" t="b">
        <v>0</v>
      </c>
      <c r="R1180" t="str">
        <f>"9786074629491"</f>
        <v>9786074629491</v>
      </c>
      <c r="S1180" t="str">
        <f>"9786076281413"</f>
        <v>9786076281413</v>
      </c>
      <c r="T1180">
        <v>1043755224</v>
      </c>
    </row>
    <row r="1181" spans="1:20" x14ac:dyDescent="0.3">
      <c r="A1181">
        <v>1483676</v>
      </c>
      <c r="B1181" t="s">
        <v>5157</v>
      </c>
      <c r="C1181" t="s">
        <v>5158</v>
      </c>
      <c r="D1181" t="s">
        <v>2450</v>
      </c>
      <c r="E1181" t="s">
        <v>2451</v>
      </c>
      <c r="F1181">
        <v>2017</v>
      </c>
      <c r="G1181" t="s">
        <v>1319</v>
      </c>
      <c r="H1181" t="s">
        <v>5159</v>
      </c>
      <c r="I1181" t="s">
        <v>5160</v>
      </c>
      <c r="J1181" t="s">
        <v>24</v>
      </c>
      <c r="K1181" t="s">
        <v>25</v>
      </c>
      <c r="L1181" t="b">
        <v>1</v>
      </c>
      <c r="M1181" t="s">
        <v>5161</v>
      </c>
      <c r="N1181" t="str">
        <f>"303.34"</f>
        <v>303.34</v>
      </c>
      <c r="P1181" t="b">
        <v>0</v>
      </c>
      <c r="R1181" t="str">
        <f>"9783959482295"</f>
        <v>9783959482295</v>
      </c>
      <c r="S1181" t="str">
        <f>"9783869459974"</f>
        <v>9783869459974</v>
      </c>
      <c r="T1181">
        <v>976394299</v>
      </c>
    </row>
    <row r="1182" spans="1:20" x14ac:dyDescent="0.3">
      <c r="A1182">
        <v>1482182</v>
      </c>
      <c r="B1182" t="s">
        <v>5162</v>
      </c>
      <c r="D1182" t="s">
        <v>2567</v>
      </c>
      <c r="E1182" t="s">
        <v>2568</v>
      </c>
      <c r="F1182">
        <v>2017</v>
      </c>
      <c r="G1182" t="s">
        <v>922</v>
      </c>
      <c r="H1182" t="s">
        <v>5163</v>
      </c>
      <c r="I1182" t="s">
        <v>5164</v>
      </c>
      <c r="J1182" t="s">
        <v>2571</v>
      </c>
      <c r="K1182" t="s">
        <v>25</v>
      </c>
      <c r="L1182" t="b">
        <v>1</v>
      </c>
      <c r="M1182" t="s">
        <v>5165</v>
      </c>
      <c r="N1182" t="str">
        <f>"620.001/51"</f>
        <v>620.001/51</v>
      </c>
      <c r="O1182" t="s">
        <v>5166</v>
      </c>
      <c r="P1182" t="b">
        <v>0</v>
      </c>
      <c r="R1182" t="str">
        <f>"9784764904231"</f>
        <v>9784764904231</v>
      </c>
      <c r="S1182" t="str">
        <f>"9784764971080"</f>
        <v>9784764971080</v>
      </c>
      <c r="T1182">
        <v>974802088</v>
      </c>
    </row>
    <row r="1183" spans="1:20" x14ac:dyDescent="0.3">
      <c r="A1183">
        <v>1482181</v>
      </c>
      <c r="B1183" t="s">
        <v>5167</v>
      </c>
      <c r="C1183" t="s">
        <v>5168</v>
      </c>
      <c r="D1183" t="s">
        <v>2567</v>
      </c>
      <c r="E1183" t="s">
        <v>2568</v>
      </c>
      <c r="F1183">
        <v>2016</v>
      </c>
      <c r="G1183" t="s">
        <v>3242</v>
      </c>
      <c r="H1183" t="s">
        <v>5169</v>
      </c>
      <c r="I1183" t="s">
        <v>5170</v>
      </c>
      <c r="J1183" t="s">
        <v>2571</v>
      </c>
      <c r="K1183" t="s">
        <v>25</v>
      </c>
      <c r="L1183" t="b">
        <v>1</v>
      </c>
      <c r="M1183" t="s">
        <v>5171</v>
      </c>
      <c r="N1183" t="str">
        <f>"363.34/80952"</f>
        <v>363.34/80952</v>
      </c>
      <c r="P1183" t="b">
        <v>0</v>
      </c>
      <c r="R1183" t="str">
        <f>"9784764905306"</f>
        <v>9784764905306</v>
      </c>
      <c r="S1183" t="str">
        <f>"9784764971011"</f>
        <v>9784764971011</v>
      </c>
      <c r="T1183">
        <v>974802087</v>
      </c>
    </row>
    <row r="1184" spans="1:20" x14ac:dyDescent="0.3">
      <c r="A1184">
        <v>1482180</v>
      </c>
      <c r="B1184" t="s">
        <v>5172</v>
      </c>
      <c r="C1184" t="s">
        <v>5173</v>
      </c>
      <c r="D1184" t="s">
        <v>2567</v>
      </c>
      <c r="E1184" t="s">
        <v>2568</v>
      </c>
      <c r="F1184">
        <v>2016</v>
      </c>
      <c r="G1184" t="s">
        <v>2266</v>
      </c>
      <c r="H1184" t="s">
        <v>5174</v>
      </c>
      <c r="I1184" t="s">
        <v>5175</v>
      </c>
      <c r="J1184" t="s">
        <v>2571</v>
      </c>
      <c r="K1184" t="s">
        <v>25</v>
      </c>
      <c r="L1184" t="b">
        <v>1</v>
      </c>
      <c r="M1184" t="s">
        <v>5176</v>
      </c>
      <c r="N1184" t="str">
        <f>"004"</f>
        <v>004</v>
      </c>
      <c r="P1184" t="b">
        <v>0</v>
      </c>
      <c r="R1184" t="str">
        <f>"9784764904712"</f>
        <v>9784764904712</v>
      </c>
      <c r="S1184" t="str">
        <f>"9784764971028"</f>
        <v>9784764971028</v>
      </c>
      <c r="T1184">
        <v>974802086</v>
      </c>
    </row>
    <row r="1185" spans="1:20" x14ac:dyDescent="0.3">
      <c r="A1185">
        <v>1482179</v>
      </c>
      <c r="B1185" t="s">
        <v>5177</v>
      </c>
      <c r="D1185" t="s">
        <v>2567</v>
      </c>
      <c r="E1185" t="s">
        <v>2568</v>
      </c>
      <c r="F1185">
        <v>2016</v>
      </c>
      <c r="G1185" t="s">
        <v>5178</v>
      </c>
      <c r="H1185" t="s">
        <v>5179</v>
      </c>
      <c r="I1185" t="s">
        <v>5180</v>
      </c>
      <c r="J1185" t="s">
        <v>2571</v>
      </c>
      <c r="K1185" t="s">
        <v>25</v>
      </c>
      <c r="L1185" t="b">
        <v>1</v>
      </c>
      <c r="M1185" t="s">
        <v>5181</v>
      </c>
      <c r="N1185" t="str">
        <f>"495.68"</f>
        <v>495.68</v>
      </c>
      <c r="P1185" t="b">
        <v>0</v>
      </c>
      <c r="R1185" t="str">
        <f>"9784764904552"</f>
        <v>9784764904552</v>
      </c>
      <c r="S1185" t="str">
        <f>"9784764971066"</f>
        <v>9784764971066</v>
      </c>
      <c r="T1185">
        <v>974802095</v>
      </c>
    </row>
    <row r="1186" spans="1:20" x14ac:dyDescent="0.3">
      <c r="A1186">
        <v>1482178</v>
      </c>
      <c r="B1186" t="s">
        <v>5182</v>
      </c>
      <c r="C1186" t="s">
        <v>5183</v>
      </c>
      <c r="D1186" t="s">
        <v>2567</v>
      </c>
      <c r="E1186" t="s">
        <v>2568</v>
      </c>
      <c r="F1186">
        <v>2016</v>
      </c>
      <c r="G1186" t="s">
        <v>340</v>
      </c>
      <c r="H1186" t="s">
        <v>5184</v>
      </c>
      <c r="I1186" t="s">
        <v>5185</v>
      </c>
      <c r="J1186" t="s">
        <v>2571</v>
      </c>
      <c r="K1186" t="s">
        <v>25</v>
      </c>
      <c r="L1186" t="b">
        <v>1</v>
      </c>
      <c r="M1186" t="s">
        <v>2584</v>
      </c>
      <c r="N1186" t="str">
        <f>"006.3/1"</f>
        <v>006.3/1</v>
      </c>
      <c r="P1186" t="b">
        <v>0</v>
      </c>
      <c r="R1186" t="str">
        <f>"9784764905290"</f>
        <v>9784764905290</v>
      </c>
      <c r="S1186" t="str">
        <f>"9784764971073"</f>
        <v>9784764971073</v>
      </c>
      <c r="T1186">
        <v>974802232</v>
      </c>
    </row>
    <row r="1187" spans="1:20" x14ac:dyDescent="0.3">
      <c r="A1187">
        <v>1481927</v>
      </c>
      <c r="B1187" t="s">
        <v>5186</v>
      </c>
      <c r="D1187" t="s">
        <v>2547</v>
      </c>
      <c r="E1187" t="s">
        <v>2548</v>
      </c>
      <c r="F1187">
        <v>2017</v>
      </c>
      <c r="G1187" t="s">
        <v>2549</v>
      </c>
      <c r="H1187" t="s">
        <v>5187</v>
      </c>
      <c r="I1187" t="s">
        <v>5188</v>
      </c>
      <c r="J1187" t="s">
        <v>596</v>
      </c>
      <c r="K1187" t="s">
        <v>25</v>
      </c>
      <c r="L1187" t="b">
        <v>1</v>
      </c>
      <c r="M1187" t="s">
        <v>5189</v>
      </c>
      <c r="N1187" t="str">
        <f>"343.450402636"</f>
        <v>343.450402636</v>
      </c>
      <c r="P1187" t="b">
        <v>0</v>
      </c>
      <c r="Q1187" t="b">
        <v>0</v>
      </c>
      <c r="S1187" t="str">
        <f>"9788892164055"</f>
        <v>9788892164055</v>
      </c>
      <c r="T1187">
        <v>975225670</v>
      </c>
    </row>
    <row r="1188" spans="1:20" x14ac:dyDescent="0.3">
      <c r="A1188">
        <v>1481925</v>
      </c>
      <c r="B1188" t="s">
        <v>5190</v>
      </c>
      <c r="C1188" t="s">
        <v>5191</v>
      </c>
      <c r="D1188" t="s">
        <v>2547</v>
      </c>
      <c r="E1188" t="s">
        <v>2548</v>
      </c>
      <c r="F1188">
        <v>2017</v>
      </c>
      <c r="G1188" t="s">
        <v>1620</v>
      </c>
      <c r="H1188" t="s">
        <v>5192</v>
      </c>
      <c r="I1188" t="s">
        <v>5193</v>
      </c>
      <c r="J1188" t="s">
        <v>596</v>
      </c>
      <c r="K1188" t="s">
        <v>25</v>
      </c>
      <c r="L1188" t="b">
        <v>1</v>
      </c>
      <c r="M1188" t="s">
        <v>5194</v>
      </c>
      <c r="N1188" t="str">
        <f>"345.4505"</f>
        <v>345.4505</v>
      </c>
      <c r="P1188" t="b">
        <v>0</v>
      </c>
      <c r="Q1188" t="b">
        <v>0</v>
      </c>
      <c r="S1188" t="str">
        <f>"9788892164642"</f>
        <v>9788892164642</v>
      </c>
      <c r="T1188">
        <v>981221542</v>
      </c>
    </row>
    <row r="1189" spans="1:20" x14ac:dyDescent="0.3">
      <c r="A1189">
        <v>1481916</v>
      </c>
      <c r="B1189" t="s">
        <v>5195</v>
      </c>
      <c r="C1189" t="s">
        <v>5196</v>
      </c>
      <c r="D1189" t="s">
        <v>2547</v>
      </c>
      <c r="E1189" t="s">
        <v>2548</v>
      </c>
      <c r="F1189">
        <v>2017</v>
      </c>
      <c r="G1189" t="s">
        <v>1468</v>
      </c>
      <c r="H1189" t="s">
        <v>5197</v>
      </c>
      <c r="I1189" t="s">
        <v>5198</v>
      </c>
      <c r="J1189" t="s">
        <v>596</v>
      </c>
      <c r="K1189" t="s">
        <v>55</v>
      </c>
      <c r="L1189" t="b">
        <v>1</v>
      </c>
      <c r="M1189" t="s">
        <v>5199</v>
      </c>
      <c r="N1189" t="str">
        <f>"346.45066"</f>
        <v>346.45066</v>
      </c>
      <c r="P1189" t="b">
        <v>0</v>
      </c>
      <c r="Q1189" t="b">
        <v>0</v>
      </c>
      <c r="S1189" t="str">
        <f>"9788892162655"</f>
        <v>9788892162655</v>
      </c>
      <c r="T1189">
        <v>975224143</v>
      </c>
    </row>
    <row r="1190" spans="1:20" x14ac:dyDescent="0.3">
      <c r="A1190">
        <v>1481882</v>
      </c>
      <c r="B1190" t="s">
        <v>5200</v>
      </c>
      <c r="D1190" t="s">
        <v>2547</v>
      </c>
      <c r="E1190" t="s">
        <v>2548</v>
      </c>
      <c r="F1190">
        <v>2016</v>
      </c>
      <c r="G1190" t="s">
        <v>1468</v>
      </c>
      <c r="H1190" t="s">
        <v>5201</v>
      </c>
      <c r="I1190" t="s">
        <v>5202</v>
      </c>
      <c r="J1190" t="s">
        <v>596</v>
      </c>
      <c r="K1190" t="s">
        <v>269</v>
      </c>
      <c r="L1190" t="b">
        <v>1</v>
      </c>
      <c r="M1190" t="s">
        <v>5203</v>
      </c>
      <c r="N1190" t="str">
        <f>"346.45073"</f>
        <v>346.45073</v>
      </c>
      <c r="O1190" t="s">
        <v>5204</v>
      </c>
      <c r="P1190" t="b">
        <v>0</v>
      </c>
      <c r="Q1190" t="b">
        <v>0</v>
      </c>
      <c r="S1190" t="str">
        <f>"9788892164512"</f>
        <v>9788892164512</v>
      </c>
      <c r="T1190">
        <v>975223250</v>
      </c>
    </row>
    <row r="1191" spans="1:20" x14ac:dyDescent="0.3">
      <c r="A1191">
        <v>1481880</v>
      </c>
      <c r="B1191" t="s">
        <v>5205</v>
      </c>
      <c r="C1191" t="s">
        <v>5206</v>
      </c>
      <c r="D1191" t="s">
        <v>2547</v>
      </c>
      <c r="E1191" t="s">
        <v>2548</v>
      </c>
      <c r="F1191">
        <v>2016</v>
      </c>
      <c r="G1191" t="s">
        <v>1391</v>
      </c>
      <c r="H1191" t="s">
        <v>5207</v>
      </c>
      <c r="I1191" t="s">
        <v>5208</v>
      </c>
      <c r="J1191" t="s">
        <v>596</v>
      </c>
      <c r="K1191" t="s">
        <v>25</v>
      </c>
      <c r="L1191" t="b">
        <v>1</v>
      </c>
      <c r="M1191" t="s">
        <v>5209</v>
      </c>
      <c r="N1191" t="str">
        <f>"338.4791"</f>
        <v>338.4791</v>
      </c>
      <c r="P1191" t="b">
        <v>0</v>
      </c>
      <c r="Q1191" t="b">
        <v>0</v>
      </c>
      <c r="S1191" t="str">
        <f>"9788892164383"</f>
        <v>9788892164383</v>
      </c>
      <c r="T1191">
        <v>975224653</v>
      </c>
    </row>
    <row r="1192" spans="1:20" x14ac:dyDescent="0.3">
      <c r="A1192">
        <v>1481879</v>
      </c>
      <c r="B1192" t="s">
        <v>5210</v>
      </c>
      <c r="C1192" t="s">
        <v>5211</v>
      </c>
      <c r="D1192" t="s">
        <v>2547</v>
      </c>
      <c r="E1192" t="s">
        <v>2548</v>
      </c>
      <c r="F1192">
        <v>2016</v>
      </c>
      <c r="G1192" t="s">
        <v>5212</v>
      </c>
      <c r="H1192" t="s">
        <v>5213</v>
      </c>
      <c r="I1192" t="s">
        <v>5214</v>
      </c>
      <c r="J1192" t="s">
        <v>596</v>
      </c>
      <c r="K1192" t="s">
        <v>269</v>
      </c>
      <c r="L1192" t="b">
        <v>1</v>
      </c>
      <c r="M1192" t="s">
        <v>5215</v>
      </c>
      <c r="N1192" t="str">
        <f>"341"</f>
        <v>341</v>
      </c>
      <c r="O1192" t="s">
        <v>5216</v>
      </c>
      <c r="P1192" t="b">
        <v>0</v>
      </c>
      <c r="Q1192" t="b">
        <v>0</v>
      </c>
      <c r="S1192" t="str">
        <f>"9788892163935"</f>
        <v>9788892163935</v>
      </c>
      <c r="T1192">
        <v>975225856</v>
      </c>
    </row>
    <row r="1193" spans="1:20" x14ac:dyDescent="0.3">
      <c r="A1193">
        <v>1481872</v>
      </c>
      <c r="B1193" t="s">
        <v>5217</v>
      </c>
      <c r="D1193" t="s">
        <v>2547</v>
      </c>
      <c r="E1193" t="s">
        <v>2548</v>
      </c>
      <c r="F1193">
        <v>2016</v>
      </c>
      <c r="G1193" t="s">
        <v>1468</v>
      </c>
      <c r="H1193" t="s">
        <v>5218</v>
      </c>
      <c r="I1193" t="s">
        <v>5219</v>
      </c>
      <c r="J1193" t="s">
        <v>596</v>
      </c>
      <c r="K1193" t="s">
        <v>25</v>
      </c>
      <c r="L1193" t="b">
        <v>1</v>
      </c>
      <c r="M1193" t="s">
        <v>5220</v>
      </c>
      <c r="N1193" t="str">
        <f>"344.450189102632"</f>
        <v>344.450189102632</v>
      </c>
      <c r="O1193" t="s">
        <v>5221</v>
      </c>
      <c r="P1193" t="b">
        <v>0</v>
      </c>
      <c r="Q1193" t="b">
        <v>0</v>
      </c>
      <c r="S1193" t="str">
        <f>"9788892161405"</f>
        <v>9788892161405</v>
      </c>
      <c r="T1193">
        <v>975225196</v>
      </c>
    </row>
    <row r="1194" spans="1:20" x14ac:dyDescent="0.3">
      <c r="A1194">
        <v>1481871</v>
      </c>
      <c r="B1194" t="s">
        <v>5222</v>
      </c>
      <c r="C1194" t="s">
        <v>5223</v>
      </c>
      <c r="D1194" t="s">
        <v>2547</v>
      </c>
      <c r="E1194" t="s">
        <v>2548</v>
      </c>
      <c r="F1194">
        <v>2017</v>
      </c>
      <c r="G1194" t="s">
        <v>5224</v>
      </c>
      <c r="H1194" t="s">
        <v>4497</v>
      </c>
      <c r="I1194" t="s">
        <v>5225</v>
      </c>
      <c r="J1194" t="s">
        <v>596</v>
      </c>
      <c r="K1194" t="s">
        <v>269</v>
      </c>
      <c r="L1194" t="b">
        <v>1</v>
      </c>
      <c r="M1194" t="s">
        <v>5226</v>
      </c>
      <c r="N1194" t="str">
        <f>"342.4506"</f>
        <v>342.4506</v>
      </c>
      <c r="O1194" t="s">
        <v>5227</v>
      </c>
      <c r="P1194" t="b">
        <v>0</v>
      </c>
      <c r="Q1194" t="b">
        <v>0</v>
      </c>
      <c r="S1194" t="str">
        <f>"9788892159518"</f>
        <v>9788892159518</v>
      </c>
      <c r="T1194">
        <v>981249089</v>
      </c>
    </row>
    <row r="1195" spans="1:20" x14ac:dyDescent="0.3">
      <c r="A1195">
        <v>1481527</v>
      </c>
      <c r="B1195" t="s">
        <v>5228</v>
      </c>
      <c r="D1195" t="s">
        <v>4725</v>
      </c>
      <c r="E1195" t="s">
        <v>4726</v>
      </c>
      <c r="F1195">
        <v>2017</v>
      </c>
      <c r="J1195" t="s">
        <v>580</v>
      </c>
      <c r="K1195" t="s">
        <v>55</v>
      </c>
      <c r="L1195" t="b">
        <v>1</v>
      </c>
      <c r="M1195" t="s">
        <v>5229</v>
      </c>
      <c r="P1195" t="b">
        <v>0</v>
      </c>
      <c r="Q1195" t="b">
        <v>0</v>
      </c>
      <c r="R1195" t="str">
        <f>"9786074628883"</f>
        <v>9786074628883</v>
      </c>
      <c r="S1195" t="str">
        <f>"9786076281390"</f>
        <v>9786076281390</v>
      </c>
    </row>
    <row r="1196" spans="1:20" x14ac:dyDescent="0.3">
      <c r="A1196">
        <v>1481514</v>
      </c>
      <c r="B1196" t="s">
        <v>5230</v>
      </c>
      <c r="C1196" t="s">
        <v>5231</v>
      </c>
      <c r="D1196" t="s">
        <v>4725</v>
      </c>
      <c r="E1196" t="s">
        <v>4726</v>
      </c>
      <c r="F1196">
        <v>2017</v>
      </c>
      <c r="G1196" t="s">
        <v>5232</v>
      </c>
      <c r="H1196" t="s">
        <v>5233</v>
      </c>
      <c r="I1196" t="s">
        <v>5234</v>
      </c>
      <c r="J1196" t="s">
        <v>580</v>
      </c>
      <c r="K1196" t="s">
        <v>55</v>
      </c>
      <c r="L1196" t="b">
        <v>1</v>
      </c>
      <c r="M1196" t="s">
        <v>5235</v>
      </c>
      <c r="N1196" t="str">
        <f>"320.95691"</f>
        <v>320.95691</v>
      </c>
      <c r="P1196" t="b">
        <v>0</v>
      </c>
      <c r="Q1196" t="b">
        <v>0</v>
      </c>
      <c r="R1196" t="str">
        <f>"9786074629149"</f>
        <v>9786074629149</v>
      </c>
      <c r="S1196" t="str">
        <f>"9786076281475"</f>
        <v>9786076281475</v>
      </c>
      <c r="T1196">
        <v>975023491</v>
      </c>
    </row>
    <row r="1197" spans="1:20" x14ac:dyDescent="0.3">
      <c r="A1197">
        <v>1481511</v>
      </c>
      <c r="B1197" t="s">
        <v>5236</v>
      </c>
      <c r="D1197" t="s">
        <v>4725</v>
      </c>
      <c r="E1197" t="s">
        <v>4726</v>
      </c>
      <c r="F1197">
        <v>2016</v>
      </c>
      <c r="G1197" t="s">
        <v>5237</v>
      </c>
      <c r="H1197" t="s">
        <v>5238</v>
      </c>
      <c r="I1197" t="s">
        <v>5239</v>
      </c>
      <c r="J1197" t="s">
        <v>580</v>
      </c>
      <c r="K1197" t="s">
        <v>55</v>
      </c>
      <c r="L1197" t="b">
        <v>1</v>
      </c>
      <c r="M1197" t="s">
        <v>5240</v>
      </c>
      <c r="N1197" t="str">
        <f>"351"</f>
        <v>351</v>
      </c>
      <c r="P1197" t="b">
        <v>0</v>
      </c>
      <c r="Q1197" t="b">
        <v>0</v>
      </c>
      <c r="R1197" t="str">
        <f>"9786074629378"</f>
        <v>9786074629378</v>
      </c>
      <c r="S1197" t="str">
        <f>"9786076281215"</f>
        <v>9786076281215</v>
      </c>
      <c r="T1197">
        <v>975467653</v>
      </c>
    </row>
    <row r="1198" spans="1:20" x14ac:dyDescent="0.3">
      <c r="A1198">
        <v>1481510</v>
      </c>
      <c r="B1198" t="s">
        <v>5241</v>
      </c>
      <c r="D1198" t="s">
        <v>4725</v>
      </c>
      <c r="E1198" t="s">
        <v>4726</v>
      </c>
      <c r="F1198">
        <v>2017</v>
      </c>
      <c r="G1198" t="s">
        <v>721</v>
      </c>
      <c r="H1198" t="s">
        <v>5242</v>
      </c>
      <c r="I1198" t="s">
        <v>5243</v>
      </c>
      <c r="J1198" t="s">
        <v>580</v>
      </c>
      <c r="K1198" t="s">
        <v>55</v>
      </c>
      <c r="L1198" t="b">
        <v>1</v>
      </c>
      <c r="M1198" t="s">
        <v>5244</v>
      </c>
      <c r="N1198" t="str">
        <f>"363.46"</f>
        <v>363.46</v>
      </c>
      <c r="P1198" t="b">
        <v>0</v>
      </c>
      <c r="Q1198" t="b">
        <v>0</v>
      </c>
      <c r="R1198" t="str">
        <f>"9786074629385"</f>
        <v>9786074629385</v>
      </c>
      <c r="S1198" t="str">
        <f>"9786076281321"</f>
        <v>9786076281321</v>
      </c>
      <c r="T1198">
        <v>975968225</v>
      </c>
    </row>
    <row r="1199" spans="1:20" x14ac:dyDescent="0.3">
      <c r="A1199">
        <v>1481471</v>
      </c>
      <c r="B1199" t="s">
        <v>5245</v>
      </c>
      <c r="C1199" t="s">
        <v>5246</v>
      </c>
      <c r="D1199" t="s">
        <v>1482</v>
      </c>
      <c r="E1199" t="s">
        <v>1482</v>
      </c>
      <c r="F1199">
        <v>2017</v>
      </c>
      <c r="G1199" t="s">
        <v>5247</v>
      </c>
      <c r="H1199" t="s">
        <v>5248</v>
      </c>
      <c r="I1199" t="s">
        <v>5249</v>
      </c>
      <c r="J1199" t="s">
        <v>24</v>
      </c>
      <c r="K1199" t="s">
        <v>25</v>
      </c>
      <c r="L1199" t="b">
        <v>1</v>
      </c>
      <c r="M1199" t="s">
        <v>5250</v>
      </c>
      <c r="N1199" t="str">
        <f>"340.115"</f>
        <v>340.115</v>
      </c>
      <c r="P1199" t="b">
        <v>0</v>
      </c>
      <c r="R1199" t="str">
        <f>"9780719097836"</f>
        <v>9780719097836</v>
      </c>
      <c r="S1199" t="str">
        <f>"9781526115409"</f>
        <v>9781526115409</v>
      </c>
      <c r="T1199">
        <v>974711747</v>
      </c>
    </row>
    <row r="1200" spans="1:20" x14ac:dyDescent="0.3">
      <c r="A1200">
        <v>1481470</v>
      </c>
      <c r="B1200" t="s">
        <v>5251</v>
      </c>
      <c r="C1200" t="s">
        <v>5252</v>
      </c>
      <c r="D1200" t="s">
        <v>1482</v>
      </c>
      <c r="E1200" t="s">
        <v>1482</v>
      </c>
      <c r="F1200">
        <v>2017</v>
      </c>
      <c r="G1200" t="s">
        <v>5253</v>
      </c>
      <c r="H1200" t="s">
        <v>5254</v>
      </c>
      <c r="I1200" t="s">
        <v>5255</v>
      </c>
      <c r="J1200" t="s">
        <v>24</v>
      </c>
      <c r="K1200" t="s">
        <v>25</v>
      </c>
      <c r="L1200" t="b">
        <v>1</v>
      </c>
      <c r="M1200" t="s">
        <v>5256</v>
      </c>
      <c r="N1200" t="str">
        <f>"712"</f>
        <v>712</v>
      </c>
      <c r="O1200" t="s">
        <v>5257</v>
      </c>
      <c r="P1200" t="b">
        <v>0</v>
      </c>
      <c r="R1200" t="str">
        <f>"9781784993009"</f>
        <v>9781784993009</v>
      </c>
      <c r="S1200" t="str">
        <f>"9781526112972"</f>
        <v>9781526112972</v>
      </c>
      <c r="T1200">
        <v>974711746</v>
      </c>
    </row>
    <row r="1201" spans="1:20" x14ac:dyDescent="0.3">
      <c r="A1201">
        <v>1481468</v>
      </c>
      <c r="B1201" t="s">
        <v>5258</v>
      </c>
      <c r="D1201" t="s">
        <v>1482</v>
      </c>
      <c r="E1201" t="s">
        <v>1482</v>
      </c>
      <c r="F1201">
        <v>2017</v>
      </c>
      <c r="G1201" t="s">
        <v>5259</v>
      </c>
      <c r="H1201" t="s">
        <v>5260</v>
      </c>
      <c r="I1201" t="s">
        <v>5261</v>
      </c>
      <c r="J1201" t="s">
        <v>24</v>
      </c>
      <c r="K1201" t="s">
        <v>25</v>
      </c>
      <c r="L1201" t="b">
        <v>1</v>
      </c>
      <c r="M1201" t="s">
        <v>5262</v>
      </c>
      <c r="N1201" t="str">
        <f>"820.8/003"</f>
        <v>820.8/003</v>
      </c>
      <c r="O1201" t="s">
        <v>5263</v>
      </c>
      <c r="P1201" t="b">
        <v>0</v>
      </c>
      <c r="R1201" t="str">
        <f>"9781526104489"</f>
        <v>9781526104489</v>
      </c>
      <c r="S1201" t="str">
        <f>"9781526104502"</f>
        <v>9781526104502</v>
      </c>
      <c r="T1201">
        <v>974711920</v>
      </c>
    </row>
    <row r="1202" spans="1:20" x14ac:dyDescent="0.3">
      <c r="A1202">
        <v>1480984</v>
      </c>
      <c r="B1202" t="s">
        <v>5264</v>
      </c>
      <c r="C1202" t="s">
        <v>5265</v>
      </c>
      <c r="D1202" t="s">
        <v>4767</v>
      </c>
      <c r="E1202" t="s">
        <v>4768</v>
      </c>
      <c r="F1202">
        <v>2017</v>
      </c>
      <c r="G1202" t="s">
        <v>5266</v>
      </c>
      <c r="H1202" t="s">
        <v>5267</v>
      </c>
      <c r="I1202" t="s">
        <v>5268</v>
      </c>
      <c r="J1202" t="s">
        <v>24</v>
      </c>
      <c r="K1202" t="s">
        <v>269</v>
      </c>
      <c r="L1202" t="b">
        <v>1</v>
      </c>
      <c r="M1202" t="s">
        <v>5269</v>
      </c>
      <c r="N1202" t="str">
        <f>"338.2/7282097123"</f>
        <v>338.2/7282097123</v>
      </c>
      <c r="P1202" t="b">
        <v>0</v>
      </c>
      <c r="R1202" t="str">
        <f>"9781772121407"</f>
        <v>9781772121407</v>
      </c>
      <c r="S1202" t="str">
        <f>"9781772122756"</f>
        <v>9781772122756</v>
      </c>
      <c r="T1202">
        <v>951222131</v>
      </c>
    </row>
    <row r="1203" spans="1:20" x14ac:dyDescent="0.3">
      <c r="A1203">
        <v>1480873</v>
      </c>
      <c r="B1203" t="s">
        <v>5270</v>
      </c>
      <c r="C1203" t="s">
        <v>5271</v>
      </c>
      <c r="D1203" t="s">
        <v>5272</v>
      </c>
      <c r="E1203" t="s">
        <v>5272</v>
      </c>
      <c r="F1203">
        <v>1974</v>
      </c>
      <c r="G1203" t="s">
        <v>60</v>
      </c>
      <c r="H1203" t="s">
        <v>5273</v>
      </c>
      <c r="I1203" t="s">
        <v>5274</v>
      </c>
      <c r="J1203" t="s">
        <v>24</v>
      </c>
      <c r="K1203" t="s">
        <v>25</v>
      </c>
      <c r="L1203" t="b">
        <v>1</v>
      </c>
      <c r="M1203" t="s">
        <v>5275</v>
      </c>
      <c r="N1203" t="str">
        <f>"382/.094/05"</f>
        <v>382/.094/05</v>
      </c>
      <c r="P1203" t="b">
        <v>0</v>
      </c>
      <c r="Q1203" t="b">
        <v>0</v>
      </c>
      <c r="R1203" t="str">
        <f>"9780226771380"</f>
        <v>9780226771380</v>
      </c>
      <c r="S1203" t="str">
        <f>"9780226771458"</f>
        <v>9780226771458</v>
      </c>
      <c r="T1203">
        <v>792871242</v>
      </c>
    </row>
    <row r="1204" spans="1:20" x14ac:dyDescent="0.3">
      <c r="A1204">
        <v>1480862</v>
      </c>
      <c r="B1204" t="s">
        <v>5276</v>
      </c>
      <c r="C1204" t="s">
        <v>5277</v>
      </c>
      <c r="D1204" t="s">
        <v>3497</v>
      </c>
      <c r="E1204" t="s">
        <v>3498</v>
      </c>
      <c r="F1204">
        <v>2017</v>
      </c>
      <c r="G1204" t="s">
        <v>5278</v>
      </c>
      <c r="H1204" t="s">
        <v>5279</v>
      </c>
      <c r="I1204" t="s">
        <v>5280</v>
      </c>
      <c r="J1204" t="s">
        <v>24</v>
      </c>
      <c r="K1204" t="s">
        <v>25</v>
      </c>
      <c r="L1204" t="b">
        <v>1</v>
      </c>
      <c r="M1204" t="s">
        <v>5281</v>
      </c>
      <c r="N1204" t="str">
        <f>"578.09"</f>
        <v>578.09</v>
      </c>
      <c r="P1204" t="b">
        <v>0</v>
      </c>
      <c r="R1204" t="str">
        <f>"9781486304837"</f>
        <v>9781486304837</v>
      </c>
      <c r="S1204" t="str">
        <f>"9781486304844"</f>
        <v>9781486304844</v>
      </c>
      <c r="T1204">
        <v>951674786</v>
      </c>
    </row>
    <row r="1205" spans="1:20" x14ac:dyDescent="0.3">
      <c r="A1205">
        <v>1479918</v>
      </c>
      <c r="B1205" t="s">
        <v>5282</v>
      </c>
      <c r="D1205" t="s">
        <v>4532</v>
      </c>
      <c r="E1205" t="s">
        <v>4533</v>
      </c>
      <c r="F1205">
        <v>2016</v>
      </c>
      <c r="J1205" t="s">
        <v>580</v>
      </c>
      <c r="K1205" t="s">
        <v>25</v>
      </c>
      <c r="L1205" t="b">
        <v>1</v>
      </c>
      <c r="M1205" t="s">
        <v>5283</v>
      </c>
      <c r="P1205" t="b">
        <v>0</v>
      </c>
      <c r="Q1205" t="b">
        <v>0</v>
      </c>
      <c r="S1205" t="str">
        <f>"9788416982127"</f>
        <v>9788416982127</v>
      </c>
    </row>
    <row r="1206" spans="1:20" x14ac:dyDescent="0.3">
      <c r="A1206">
        <v>1479872</v>
      </c>
      <c r="B1206" t="s">
        <v>5284</v>
      </c>
      <c r="D1206" t="s">
        <v>3080</v>
      </c>
      <c r="E1206" t="s">
        <v>5285</v>
      </c>
      <c r="F1206">
        <v>2017</v>
      </c>
      <c r="G1206" t="s">
        <v>1501</v>
      </c>
      <c r="H1206" t="s">
        <v>5286</v>
      </c>
      <c r="J1206" t="s">
        <v>24</v>
      </c>
      <c r="K1206" t="s">
        <v>25</v>
      </c>
      <c r="L1206" t="b">
        <v>1</v>
      </c>
      <c r="M1206" t="s">
        <v>5287</v>
      </c>
      <c r="N1206" t="str">
        <f>"941.835"</f>
        <v>941.835</v>
      </c>
      <c r="P1206" t="b">
        <v>0</v>
      </c>
      <c r="Q1206" t="b">
        <v>0</v>
      </c>
      <c r="R1206" t="str">
        <f>"9781846826610"</f>
        <v>9781846826610</v>
      </c>
      <c r="S1206" t="str">
        <f>"9781846826665"</f>
        <v>9781846826665</v>
      </c>
      <c r="T1206">
        <v>974642798</v>
      </c>
    </row>
    <row r="1207" spans="1:20" x14ac:dyDescent="0.3">
      <c r="A1207">
        <v>1479870</v>
      </c>
      <c r="B1207" t="s">
        <v>5288</v>
      </c>
      <c r="C1207" t="s">
        <v>5289</v>
      </c>
      <c r="D1207" t="s">
        <v>3850</v>
      </c>
      <c r="E1207" t="s">
        <v>3851</v>
      </c>
      <c r="F1207">
        <v>2017</v>
      </c>
      <c r="G1207" t="s">
        <v>721</v>
      </c>
      <c r="H1207" t="s">
        <v>5290</v>
      </c>
      <c r="I1207" t="s">
        <v>5291</v>
      </c>
      <c r="J1207" t="s">
        <v>24</v>
      </c>
      <c r="K1207" t="s">
        <v>269</v>
      </c>
      <c r="L1207" t="b">
        <v>1</v>
      </c>
      <c r="M1207" t="s">
        <v>5292</v>
      </c>
      <c r="N1207" t="str">
        <f>"378.0082"</f>
        <v>378.0082</v>
      </c>
      <c r="O1207" t="s">
        <v>5293</v>
      </c>
      <c r="P1207" t="b">
        <v>0</v>
      </c>
      <c r="R1207" t="str">
        <f>"9781438464213"</f>
        <v>9781438464213</v>
      </c>
      <c r="S1207" t="str">
        <f>"9781438464220"</f>
        <v>9781438464220</v>
      </c>
      <c r="T1207">
        <v>966274832</v>
      </c>
    </row>
    <row r="1208" spans="1:20" x14ac:dyDescent="0.3">
      <c r="A1208">
        <v>1479868</v>
      </c>
      <c r="B1208" t="s">
        <v>5294</v>
      </c>
      <c r="C1208" t="s">
        <v>5295</v>
      </c>
      <c r="D1208" t="s">
        <v>2597</v>
      </c>
      <c r="E1208" t="s">
        <v>2598</v>
      </c>
      <c r="F1208">
        <v>2017</v>
      </c>
      <c r="G1208" t="s">
        <v>1745</v>
      </c>
      <c r="H1208" t="s">
        <v>5296</v>
      </c>
      <c r="I1208" t="s">
        <v>5297</v>
      </c>
      <c r="J1208" t="s">
        <v>24</v>
      </c>
      <c r="K1208" t="s">
        <v>25</v>
      </c>
      <c r="L1208" t="b">
        <v>1</v>
      </c>
      <c r="M1208" t="s">
        <v>5298</v>
      </c>
      <c r="N1208" t="str">
        <f>"331.4"</f>
        <v>331.4</v>
      </c>
      <c r="P1208" t="b">
        <v>0</v>
      </c>
      <c r="R1208" t="str">
        <f>"9781513516103"</f>
        <v>9781513516103</v>
      </c>
      <c r="S1208" t="str">
        <f>"9781475579062"</f>
        <v>9781475579062</v>
      </c>
      <c r="T1208">
        <v>975222236</v>
      </c>
    </row>
    <row r="1209" spans="1:20" x14ac:dyDescent="0.3">
      <c r="A1209">
        <v>1479866</v>
      </c>
      <c r="B1209" t="s">
        <v>5299</v>
      </c>
      <c r="D1209" t="s">
        <v>2597</v>
      </c>
      <c r="E1209" t="s">
        <v>2598</v>
      </c>
      <c r="F1209">
        <v>2017</v>
      </c>
      <c r="J1209" t="s">
        <v>24</v>
      </c>
      <c r="K1209" t="s">
        <v>25</v>
      </c>
      <c r="L1209" t="b">
        <v>1</v>
      </c>
      <c r="M1209" t="s">
        <v>5300</v>
      </c>
      <c r="P1209" t="b">
        <v>0</v>
      </c>
      <c r="R1209" t="str">
        <f>"9781475572438"</f>
        <v>9781475572438</v>
      </c>
      <c r="S1209" t="str">
        <f>"9781475578027"</f>
        <v>9781475578027</v>
      </c>
    </row>
    <row r="1210" spans="1:20" x14ac:dyDescent="0.3">
      <c r="A1210">
        <v>1479858</v>
      </c>
      <c r="B1210" t="s">
        <v>5301</v>
      </c>
      <c r="C1210" t="s">
        <v>5302</v>
      </c>
      <c r="D1210" t="s">
        <v>2597</v>
      </c>
      <c r="E1210" t="s">
        <v>2598</v>
      </c>
      <c r="F1210">
        <v>2017</v>
      </c>
      <c r="G1210" t="s">
        <v>1391</v>
      </c>
      <c r="H1210" t="s">
        <v>5303</v>
      </c>
      <c r="I1210" t="s">
        <v>5304</v>
      </c>
      <c r="J1210" t="s">
        <v>24</v>
      </c>
      <c r="K1210" t="s">
        <v>25</v>
      </c>
      <c r="L1210" t="b">
        <v>1</v>
      </c>
      <c r="M1210" t="s">
        <v>5305</v>
      </c>
      <c r="N1210" t="str">
        <f>"338.9"</f>
        <v>338.9</v>
      </c>
      <c r="O1210" t="s">
        <v>5306</v>
      </c>
      <c r="P1210" t="b">
        <v>0</v>
      </c>
      <c r="R1210" t="str">
        <f>"9781475578867"</f>
        <v>9781475578867</v>
      </c>
      <c r="S1210" t="str">
        <f>"9781475578911"</f>
        <v>9781475578911</v>
      </c>
      <c r="T1210">
        <v>975040276</v>
      </c>
    </row>
    <row r="1211" spans="1:20" x14ac:dyDescent="0.3">
      <c r="A1211">
        <v>1479856</v>
      </c>
      <c r="B1211" t="s">
        <v>5307</v>
      </c>
      <c r="D1211" t="s">
        <v>2597</v>
      </c>
      <c r="E1211" t="s">
        <v>2598</v>
      </c>
      <c r="F1211">
        <v>2017</v>
      </c>
      <c r="J1211" t="s">
        <v>24</v>
      </c>
      <c r="K1211" t="s">
        <v>25</v>
      </c>
      <c r="L1211" t="b">
        <v>1</v>
      </c>
      <c r="M1211" t="s">
        <v>5308</v>
      </c>
      <c r="P1211" t="b">
        <v>0</v>
      </c>
      <c r="R1211" t="str">
        <f>"9781475577549"</f>
        <v>9781475577549</v>
      </c>
      <c r="S1211" t="str">
        <f>"9781475579673"</f>
        <v>9781475579673</v>
      </c>
    </row>
    <row r="1212" spans="1:20" x14ac:dyDescent="0.3">
      <c r="A1212">
        <v>1479855</v>
      </c>
      <c r="B1212" t="s">
        <v>5309</v>
      </c>
      <c r="D1212" t="s">
        <v>2597</v>
      </c>
      <c r="E1212" t="s">
        <v>2598</v>
      </c>
      <c r="F1212">
        <v>2017</v>
      </c>
      <c r="J1212" t="s">
        <v>24</v>
      </c>
      <c r="K1212" t="s">
        <v>25</v>
      </c>
      <c r="L1212" t="b">
        <v>1</v>
      </c>
      <c r="M1212" t="s">
        <v>5310</v>
      </c>
      <c r="P1212" t="b">
        <v>0</v>
      </c>
      <c r="R1212" t="str">
        <f>"9781475572926"</f>
        <v>9781475572926</v>
      </c>
      <c r="S1212" t="str">
        <f>"9781475578102"</f>
        <v>9781475578102</v>
      </c>
    </row>
    <row r="1213" spans="1:20" x14ac:dyDescent="0.3">
      <c r="A1213">
        <v>1479854</v>
      </c>
      <c r="B1213" t="s">
        <v>5311</v>
      </c>
      <c r="D1213" t="s">
        <v>2597</v>
      </c>
      <c r="E1213" t="s">
        <v>2598</v>
      </c>
      <c r="F1213">
        <v>2017</v>
      </c>
      <c r="J1213" t="s">
        <v>24</v>
      </c>
      <c r="K1213" t="s">
        <v>25</v>
      </c>
      <c r="L1213" t="b">
        <v>1</v>
      </c>
      <c r="M1213" t="s">
        <v>5312</v>
      </c>
      <c r="P1213" t="b">
        <v>0</v>
      </c>
      <c r="R1213" t="str">
        <f>"9781475577525"</f>
        <v>9781475577525</v>
      </c>
      <c r="S1213" t="str">
        <f>"9781475579635"</f>
        <v>9781475579635</v>
      </c>
    </row>
    <row r="1214" spans="1:20" x14ac:dyDescent="0.3">
      <c r="A1214">
        <v>1479853</v>
      </c>
      <c r="B1214" t="s">
        <v>5313</v>
      </c>
      <c r="D1214" t="s">
        <v>2597</v>
      </c>
      <c r="E1214" t="s">
        <v>2598</v>
      </c>
      <c r="F1214">
        <v>2017</v>
      </c>
      <c r="J1214" t="s">
        <v>24</v>
      </c>
      <c r="K1214" t="s">
        <v>25</v>
      </c>
      <c r="L1214" t="b">
        <v>1</v>
      </c>
      <c r="M1214" t="s">
        <v>5314</v>
      </c>
      <c r="P1214" t="b">
        <v>0</v>
      </c>
      <c r="R1214" t="str">
        <f>"9781475572339"</f>
        <v>9781475572339</v>
      </c>
      <c r="S1214" t="str">
        <f>"9781475577723"</f>
        <v>9781475577723</v>
      </c>
    </row>
    <row r="1215" spans="1:20" x14ac:dyDescent="0.3">
      <c r="A1215">
        <v>1479852</v>
      </c>
      <c r="B1215" t="s">
        <v>5315</v>
      </c>
      <c r="D1215" t="s">
        <v>2597</v>
      </c>
      <c r="E1215" t="s">
        <v>2598</v>
      </c>
      <c r="F1215">
        <v>2017</v>
      </c>
      <c r="J1215" t="s">
        <v>24</v>
      </c>
      <c r="K1215" t="s">
        <v>25</v>
      </c>
      <c r="L1215" t="b">
        <v>1</v>
      </c>
      <c r="M1215" t="s">
        <v>5316</v>
      </c>
      <c r="P1215" t="b">
        <v>0</v>
      </c>
      <c r="R1215" t="str">
        <f>"9781475572315"</f>
        <v>9781475572315</v>
      </c>
      <c r="S1215" t="str">
        <f>"9781475577655"</f>
        <v>9781475577655</v>
      </c>
    </row>
    <row r="1216" spans="1:20" x14ac:dyDescent="0.3">
      <c r="A1216">
        <v>1479851</v>
      </c>
      <c r="B1216" t="s">
        <v>5317</v>
      </c>
      <c r="D1216" t="s">
        <v>2597</v>
      </c>
      <c r="E1216" t="s">
        <v>2598</v>
      </c>
      <c r="F1216">
        <v>2017</v>
      </c>
      <c r="J1216" t="s">
        <v>24</v>
      </c>
      <c r="K1216" t="s">
        <v>25</v>
      </c>
      <c r="L1216" t="b">
        <v>1</v>
      </c>
      <c r="M1216" t="s">
        <v>5318</v>
      </c>
      <c r="P1216" t="b">
        <v>0</v>
      </c>
      <c r="R1216" t="str">
        <f>"9781475573084"</f>
        <v>9781475573084</v>
      </c>
      <c r="S1216" t="str">
        <f>"9781475578409"</f>
        <v>9781475578409</v>
      </c>
    </row>
    <row r="1217" spans="1:20" x14ac:dyDescent="0.3">
      <c r="A1217">
        <v>1479850</v>
      </c>
      <c r="B1217" t="s">
        <v>5319</v>
      </c>
      <c r="D1217" t="s">
        <v>2597</v>
      </c>
      <c r="E1217" t="s">
        <v>2598</v>
      </c>
      <c r="F1217">
        <v>2017</v>
      </c>
      <c r="J1217" t="s">
        <v>24</v>
      </c>
      <c r="K1217" t="s">
        <v>25</v>
      </c>
      <c r="L1217" t="b">
        <v>1</v>
      </c>
      <c r="M1217" t="s">
        <v>5320</v>
      </c>
      <c r="P1217" t="b">
        <v>0</v>
      </c>
      <c r="R1217" t="str">
        <f>"9781475577570"</f>
        <v>9781475577570</v>
      </c>
      <c r="S1217" t="str">
        <f>"9781475579741"</f>
        <v>9781475579741</v>
      </c>
    </row>
    <row r="1218" spans="1:20" x14ac:dyDescent="0.3">
      <c r="A1218">
        <v>1479849</v>
      </c>
      <c r="B1218" t="s">
        <v>5321</v>
      </c>
      <c r="D1218" t="s">
        <v>2597</v>
      </c>
      <c r="E1218" t="s">
        <v>2598</v>
      </c>
      <c r="F1218">
        <v>2017</v>
      </c>
      <c r="J1218" t="s">
        <v>24</v>
      </c>
      <c r="K1218" t="s">
        <v>25</v>
      </c>
      <c r="L1218" t="b">
        <v>1</v>
      </c>
      <c r="M1218" t="s">
        <v>5322</v>
      </c>
      <c r="P1218" t="b">
        <v>0</v>
      </c>
      <c r="R1218" t="str">
        <f>"9781475573053"</f>
        <v>9781475573053</v>
      </c>
      <c r="S1218" t="str">
        <f>"9781475578348"</f>
        <v>9781475578348</v>
      </c>
    </row>
    <row r="1219" spans="1:20" x14ac:dyDescent="0.3">
      <c r="A1219">
        <v>1479848</v>
      </c>
      <c r="B1219" t="s">
        <v>5323</v>
      </c>
      <c r="D1219" t="s">
        <v>2597</v>
      </c>
      <c r="E1219" t="s">
        <v>2598</v>
      </c>
      <c r="F1219">
        <v>2017</v>
      </c>
      <c r="J1219" t="s">
        <v>24</v>
      </c>
      <c r="K1219" t="s">
        <v>25</v>
      </c>
      <c r="L1219" t="b">
        <v>1</v>
      </c>
      <c r="M1219" t="s">
        <v>5324</v>
      </c>
      <c r="P1219" t="b">
        <v>0</v>
      </c>
      <c r="R1219" t="str">
        <f>"9781475572971"</f>
        <v>9781475572971</v>
      </c>
      <c r="S1219" t="str">
        <f>"9781475578249"</f>
        <v>9781475578249</v>
      </c>
    </row>
    <row r="1220" spans="1:20" x14ac:dyDescent="0.3">
      <c r="A1220">
        <v>1479847</v>
      </c>
      <c r="B1220" t="s">
        <v>5325</v>
      </c>
      <c r="D1220" t="s">
        <v>2597</v>
      </c>
      <c r="E1220" t="s">
        <v>2598</v>
      </c>
      <c r="F1220">
        <v>2017</v>
      </c>
      <c r="J1220" t="s">
        <v>24</v>
      </c>
      <c r="K1220" t="s">
        <v>25</v>
      </c>
      <c r="L1220" t="b">
        <v>1</v>
      </c>
      <c r="M1220" t="s">
        <v>5326</v>
      </c>
      <c r="P1220" t="b">
        <v>0</v>
      </c>
      <c r="R1220" t="str">
        <f>"9781475572377"</f>
        <v>9781475572377</v>
      </c>
      <c r="S1220" t="str">
        <f>"9781475577846"</f>
        <v>9781475577846</v>
      </c>
    </row>
    <row r="1221" spans="1:20" x14ac:dyDescent="0.3">
      <c r="A1221">
        <v>1479846</v>
      </c>
      <c r="B1221" t="s">
        <v>5327</v>
      </c>
      <c r="D1221" t="s">
        <v>2597</v>
      </c>
      <c r="E1221" t="s">
        <v>2598</v>
      </c>
      <c r="F1221">
        <v>2017</v>
      </c>
      <c r="J1221" t="s">
        <v>24</v>
      </c>
      <c r="K1221" t="s">
        <v>25</v>
      </c>
      <c r="L1221" t="b">
        <v>1</v>
      </c>
      <c r="M1221" t="s">
        <v>5328</v>
      </c>
      <c r="P1221" t="b">
        <v>0</v>
      </c>
      <c r="R1221" t="str">
        <f>"9781475572360"</f>
        <v>9781475572360</v>
      </c>
      <c r="S1221" t="str">
        <f>"9781475577808"</f>
        <v>9781475577808</v>
      </c>
    </row>
    <row r="1222" spans="1:20" x14ac:dyDescent="0.3">
      <c r="A1222">
        <v>1479845</v>
      </c>
      <c r="B1222" t="s">
        <v>5329</v>
      </c>
      <c r="D1222" t="s">
        <v>2597</v>
      </c>
      <c r="E1222" t="s">
        <v>2598</v>
      </c>
      <c r="F1222">
        <v>2017</v>
      </c>
      <c r="J1222" t="s">
        <v>24</v>
      </c>
      <c r="K1222" t="s">
        <v>25</v>
      </c>
      <c r="L1222" t="b">
        <v>1</v>
      </c>
      <c r="M1222" t="s">
        <v>5330</v>
      </c>
      <c r="P1222" t="b">
        <v>0</v>
      </c>
      <c r="R1222" t="str">
        <f>"9781475572919"</f>
        <v>9781475572919</v>
      </c>
      <c r="S1222" t="str">
        <f>"9781475578089"</f>
        <v>9781475578089</v>
      </c>
    </row>
    <row r="1223" spans="1:20" x14ac:dyDescent="0.3">
      <c r="A1223">
        <v>1479844</v>
      </c>
      <c r="B1223" t="s">
        <v>5331</v>
      </c>
      <c r="D1223" t="s">
        <v>2597</v>
      </c>
      <c r="E1223" t="s">
        <v>2598</v>
      </c>
      <c r="F1223">
        <v>2017</v>
      </c>
      <c r="J1223" t="s">
        <v>24</v>
      </c>
      <c r="K1223" t="s">
        <v>25</v>
      </c>
      <c r="L1223" t="b">
        <v>1</v>
      </c>
      <c r="M1223" t="s">
        <v>5332</v>
      </c>
      <c r="P1223" t="b">
        <v>0</v>
      </c>
      <c r="R1223" t="str">
        <f>"9781475572957"</f>
        <v>9781475572957</v>
      </c>
      <c r="S1223" t="str">
        <f>"9781475578140"</f>
        <v>9781475578140</v>
      </c>
    </row>
    <row r="1224" spans="1:20" x14ac:dyDescent="0.3">
      <c r="A1224">
        <v>1478500</v>
      </c>
      <c r="B1224" t="s">
        <v>5333</v>
      </c>
      <c r="D1224" t="s">
        <v>1226</v>
      </c>
      <c r="E1224" t="s">
        <v>3414</v>
      </c>
      <c r="F1224">
        <v>2017</v>
      </c>
      <c r="G1224" t="s">
        <v>1050</v>
      </c>
      <c r="H1224" t="s">
        <v>5334</v>
      </c>
      <c r="I1224" t="s">
        <v>5335</v>
      </c>
      <c r="J1224" t="s">
        <v>24</v>
      </c>
      <c r="K1224" t="s">
        <v>25</v>
      </c>
      <c r="L1224" t="b">
        <v>1</v>
      </c>
      <c r="M1224" t="s">
        <v>5336</v>
      </c>
      <c r="N1224" t="str">
        <f>"305.896/75"</f>
        <v>305.896/75</v>
      </c>
      <c r="P1224" t="b">
        <v>0</v>
      </c>
      <c r="R1224" t="str">
        <f>"9789956764013"</f>
        <v>9789956764013</v>
      </c>
      <c r="S1224" t="str">
        <f>"9789956764280"</f>
        <v>9789956764280</v>
      </c>
      <c r="T1224">
        <v>974521488</v>
      </c>
    </row>
    <row r="1225" spans="1:20" x14ac:dyDescent="0.3">
      <c r="A1225">
        <v>1477947</v>
      </c>
      <c r="B1225" t="s">
        <v>5337</v>
      </c>
      <c r="D1225" t="s">
        <v>5338</v>
      </c>
      <c r="E1225" t="s">
        <v>5339</v>
      </c>
      <c r="F1225">
        <v>2017</v>
      </c>
      <c r="G1225" t="s">
        <v>114</v>
      </c>
      <c r="H1225" t="s">
        <v>5340</v>
      </c>
      <c r="J1225" t="s">
        <v>24</v>
      </c>
      <c r="K1225" t="s">
        <v>25</v>
      </c>
      <c r="L1225" t="b">
        <v>1</v>
      </c>
      <c r="M1225" t="s">
        <v>5341</v>
      </c>
      <c r="N1225" t="str">
        <f>"811/.6"</f>
        <v>811/.6</v>
      </c>
      <c r="P1225" t="b">
        <v>0</v>
      </c>
      <c r="R1225" t="str">
        <f>"9780870208157"</f>
        <v>9780870208157</v>
      </c>
      <c r="S1225" t="str">
        <f>"9780870208164"</f>
        <v>9780870208164</v>
      </c>
    </row>
    <row r="1226" spans="1:20" x14ac:dyDescent="0.3">
      <c r="A1226">
        <v>1477491</v>
      </c>
      <c r="B1226" t="s">
        <v>5342</v>
      </c>
      <c r="D1226" t="s">
        <v>45</v>
      </c>
      <c r="E1226" t="s">
        <v>5343</v>
      </c>
      <c r="F1226">
        <v>2016</v>
      </c>
      <c r="G1226" t="s">
        <v>5344</v>
      </c>
      <c r="J1226" t="s">
        <v>2437</v>
      </c>
      <c r="K1226" t="s">
        <v>25</v>
      </c>
      <c r="L1226" t="b">
        <v>1</v>
      </c>
      <c r="M1226" t="s">
        <v>5345</v>
      </c>
      <c r="P1226" t="b">
        <v>0</v>
      </c>
      <c r="R1226" t="str">
        <f>"9783504479541"</f>
        <v>9783504479541</v>
      </c>
      <c r="S1226" t="str">
        <f>"9783504384685"</f>
        <v>9783504384685</v>
      </c>
    </row>
    <row r="1227" spans="1:20" x14ac:dyDescent="0.3">
      <c r="A1227">
        <v>1477482</v>
      </c>
      <c r="B1227" t="s">
        <v>5346</v>
      </c>
      <c r="C1227" t="s">
        <v>5347</v>
      </c>
      <c r="D1227" t="s">
        <v>45</v>
      </c>
      <c r="E1227" t="s">
        <v>5348</v>
      </c>
      <c r="F1227">
        <v>2016</v>
      </c>
      <c r="G1227" t="s">
        <v>5349</v>
      </c>
      <c r="J1227" t="s">
        <v>2437</v>
      </c>
      <c r="K1227" t="s">
        <v>25</v>
      </c>
      <c r="L1227" t="b">
        <v>1</v>
      </c>
      <c r="M1227" t="s">
        <v>5350</v>
      </c>
      <c r="P1227" t="b">
        <v>0</v>
      </c>
      <c r="R1227" t="str">
        <f>"9783205203926"</f>
        <v>9783205203926</v>
      </c>
      <c r="S1227" t="str">
        <f>"9783205204640"</f>
        <v>9783205204640</v>
      </c>
    </row>
    <row r="1228" spans="1:20" x14ac:dyDescent="0.3">
      <c r="A1228">
        <v>1477480</v>
      </c>
      <c r="B1228" t="s">
        <v>5351</v>
      </c>
      <c r="C1228" t="s">
        <v>5352</v>
      </c>
      <c r="D1228" t="s">
        <v>45</v>
      </c>
      <c r="E1228" t="s">
        <v>5348</v>
      </c>
      <c r="F1228">
        <v>2016</v>
      </c>
      <c r="G1228" t="s">
        <v>1221</v>
      </c>
      <c r="J1228" t="s">
        <v>2437</v>
      </c>
      <c r="K1228" t="s">
        <v>25</v>
      </c>
      <c r="L1228" t="b">
        <v>1</v>
      </c>
      <c r="M1228" t="s">
        <v>5353</v>
      </c>
      <c r="P1228" t="b">
        <v>0</v>
      </c>
      <c r="R1228" t="str">
        <f>"9783412502034"</f>
        <v>9783412502034</v>
      </c>
      <c r="S1228" t="str">
        <f>"9783412506452"</f>
        <v>9783412506452</v>
      </c>
    </row>
    <row r="1229" spans="1:20" x14ac:dyDescent="0.3">
      <c r="A1229">
        <v>1473269</v>
      </c>
      <c r="B1229" t="s">
        <v>5354</v>
      </c>
      <c r="C1229" t="s">
        <v>5355</v>
      </c>
      <c r="D1229" t="s">
        <v>5356</v>
      </c>
      <c r="E1229" t="s">
        <v>5357</v>
      </c>
      <c r="F1229">
        <v>2017</v>
      </c>
      <c r="G1229" t="s">
        <v>3979</v>
      </c>
      <c r="H1229" t="s">
        <v>5358</v>
      </c>
      <c r="I1229" t="s">
        <v>5359</v>
      </c>
      <c r="J1229" t="s">
        <v>24</v>
      </c>
      <c r="K1229" t="s">
        <v>269</v>
      </c>
      <c r="L1229" t="b">
        <v>1</v>
      </c>
      <c r="M1229" t="s">
        <v>5360</v>
      </c>
      <c r="N1229" t="str">
        <f>"658.3/01"</f>
        <v>658.3/01</v>
      </c>
      <c r="P1229" t="b">
        <v>0</v>
      </c>
      <c r="R1229" t="str">
        <f>"9781413323979"</f>
        <v>9781413323979</v>
      </c>
      <c r="S1229" t="str">
        <f>"9781413323986"</f>
        <v>9781413323986</v>
      </c>
      <c r="T1229">
        <v>974035947</v>
      </c>
    </row>
    <row r="1230" spans="1:20" x14ac:dyDescent="0.3">
      <c r="A1230">
        <v>1473266</v>
      </c>
      <c r="B1230" t="s">
        <v>5361</v>
      </c>
      <c r="D1230" t="s">
        <v>5356</v>
      </c>
      <c r="E1230" t="s">
        <v>5357</v>
      </c>
      <c r="F1230">
        <v>2017</v>
      </c>
      <c r="G1230" t="s">
        <v>5362</v>
      </c>
      <c r="H1230" t="s">
        <v>5363</v>
      </c>
      <c r="I1230" t="s">
        <v>5364</v>
      </c>
      <c r="J1230" t="s">
        <v>24</v>
      </c>
      <c r="K1230" t="s">
        <v>269</v>
      </c>
      <c r="L1230" t="b">
        <v>1</v>
      </c>
      <c r="M1230" t="s">
        <v>5365</v>
      </c>
      <c r="N1230" t="str">
        <f>"346.794/064"</f>
        <v>346.794/064</v>
      </c>
      <c r="P1230" t="b">
        <v>0</v>
      </c>
      <c r="R1230" t="str">
        <f>"9781413324051"</f>
        <v>9781413324051</v>
      </c>
      <c r="S1230" t="str">
        <f>"9781413324068"</f>
        <v>9781413324068</v>
      </c>
      <c r="T1230">
        <v>982121353</v>
      </c>
    </row>
    <row r="1231" spans="1:20" x14ac:dyDescent="0.3">
      <c r="A1231">
        <v>1471857</v>
      </c>
      <c r="B1231" t="s">
        <v>5366</v>
      </c>
      <c r="C1231" t="s">
        <v>5367</v>
      </c>
      <c r="D1231" t="s">
        <v>2458</v>
      </c>
      <c r="E1231" t="s">
        <v>2459</v>
      </c>
      <c r="F1231">
        <v>2016</v>
      </c>
      <c r="J1231" t="s">
        <v>2437</v>
      </c>
      <c r="K1231" t="s">
        <v>25</v>
      </c>
      <c r="L1231" t="b">
        <v>1</v>
      </c>
      <c r="M1231" t="s">
        <v>5368</v>
      </c>
      <c r="O1231" t="s">
        <v>5369</v>
      </c>
      <c r="P1231" t="b">
        <v>0</v>
      </c>
      <c r="R1231" t="str">
        <f>"9783837638363"</f>
        <v>9783837638363</v>
      </c>
      <c r="S1231" t="str">
        <f>"9783839438367"</f>
        <v>9783839438367</v>
      </c>
    </row>
    <row r="1232" spans="1:20" x14ac:dyDescent="0.3">
      <c r="A1232">
        <v>1471850</v>
      </c>
      <c r="B1232" t="s">
        <v>5370</v>
      </c>
      <c r="C1232" t="s">
        <v>5371</v>
      </c>
      <c r="D1232" t="s">
        <v>2458</v>
      </c>
      <c r="E1232" t="s">
        <v>2459</v>
      </c>
      <c r="F1232">
        <v>2017</v>
      </c>
      <c r="G1232" t="s">
        <v>5372</v>
      </c>
      <c r="H1232" t="s">
        <v>5373</v>
      </c>
      <c r="I1232" t="s">
        <v>5374</v>
      </c>
      <c r="J1232" t="s">
        <v>2437</v>
      </c>
      <c r="K1232" t="s">
        <v>25</v>
      </c>
      <c r="L1232" t="b">
        <v>1</v>
      </c>
      <c r="M1232" t="s">
        <v>5375</v>
      </c>
      <c r="N1232" t="str">
        <f>"100"</f>
        <v>100</v>
      </c>
      <c r="O1232" t="s">
        <v>2478</v>
      </c>
      <c r="P1232" t="b">
        <v>0</v>
      </c>
      <c r="R1232" t="str">
        <f>"9783837637922"</f>
        <v>9783837637922</v>
      </c>
      <c r="S1232" t="str">
        <f>"9783839437926"</f>
        <v>9783839437926</v>
      </c>
      <c r="T1232">
        <v>979817342</v>
      </c>
    </row>
    <row r="1233" spans="1:20" x14ac:dyDescent="0.3">
      <c r="A1233">
        <v>1471845</v>
      </c>
      <c r="B1233" t="s">
        <v>5376</v>
      </c>
      <c r="C1233" t="s">
        <v>5377</v>
      </c>
      <c r="D1233" t="s">
        <v>2458</v>
      </c>
      <c r="E1233" t="s">
        <v>2459</v>
      </c>
      <c r="F1233">
        <v>2016</v>
      </c>
      <c r="J1233" t="s">
        <v>2437</v>
      </c>
      <c r="K1233" t="s">
        <v>25</v>
      </c>
      <c r="L1233" t="b">
        <v>1</v>
      </c>
      <c r="M1233" t="s">
        <v>5378</v>
      </c>
      <c r="O1233" t="s">
        <v>5379</v>
      </c>
      <c r="P1233" t="b">
        <v>0</v>
      </c>
      <c r="R1233" t="str">
        <f>"9783837637724"</f>
        <v>9783837637724</v>
      </c>
      <c r="S1233" t="str">
        <f>"9783839437728"</f>
        <v>9783839437728</v>
      </c>
    </row>
    <row r="1234" spans="1:20" x14ac:dyDescent="0.3">
      <c r="A1234">
        <v>1471841</v>
      </c>
      <c r="B1234" t="s">
        <v>5380</v>
      </c>
      <c r="C1234" t="s">
        <v>5381</v>
      </c>
      <c r="D1234" t="s">
        <v>2458</v>
      </c>
      <c r="E1234" t="s">
        <v>2459</v>
      </c>
      <c r="F1234">
        <v>2016</v>
      </c>
      <c r="J1234" t="s">
        <v>2437</v>
      </c>
      <c r="K1234" t="s">
        <v>25</v>
      </c>
      <c r="L1234" t="b">
        <v>1</v>
      </c>
      <c r="M1234" t="s">
        <v>5382</v>
      </c>
      <c r="O1234" t="s">
        <v>5383</v>
      </c>
      <c r="P1234" t="b">
        <v>0</v>
      </c>
      <c r="R1234" t="str">
        <f>"9783837637618"</f>
        <v>9783837637618</v>
      </c>
      <c r="S1234" t="str">
        <f>"9783839437612"</f>
        <v>9783839437612</v>
      </c>
    </row>
    <row r="1235" spans="1:20" x14ac:dyDescent="0.3">
      <c r="A1235">
        <v>1471835</v>
      </c>
      <c r="B1235" t="s">
        <v>5384</v>
      </c>
      <c r="C1235" t="s">
        <v>5385</v>
      </c>
      <c r="D1235" t="s">
        <v>2458</v>
      </c>
      <c r="E1235" t="s">
        <v>2459</v>
      </c>
      <c r="F1235">
        <v>2016</v>
      </c>
      <c r="J1235" t="s">
        <v>2437</v>
      </c>
      <c r="K1235" t="s">
        <v>25</v>
      </c>
      <c r="L1235" t="b">
        <v>1</v>
      </c>
      <c r="M1235" t="s">
        <v>5386</v>
      </c>
      <c r="P1235" t="b">
        <v>0</v>
      </c>
      <c r="R1235" t="str">
        <f>"9783837637465"</f>
        <v>9783837637465</v>
      </c>
      <c r="S1235" t="str">
        <f>"9783839437469"</f>
        <v>9783839437469</v>
      </c>
    </row>
    <row r="1236" spans="1:20" x14ac:dyDescent="0.3">
      <c r="A1236">
        <v>1471831</v>
      </c>
      <c r="B1236" t="s">
        <v>5387</v>
      </c>
      <c r="C1236" t="s">
        <v>5388</v>
      </c>
      <c r="D1236" t="s">
        <v>2458</v>
      </c>
      <c r="E1236" t="s">
        <v>2459</v>
      </c>
      <c r="F1236">
        <v>2016</v>
      </c>
      <c r="J1236" t="s">
        <v>2437</v>
      </c>
      <c r="K1236" t="s">
        <v>25</v>
      </c>
      <c r="L1236" t="b">
        <v>1</v>
      </c>
      <c r="M1236" t="s">
        <v>5389</v>
      </c>
      <c r="O1236" t="s">
        <v>2518</v>
      </c>
      <c r="P1236" t="b">
        <v>0</v>
      </c>
      <c r="R1236" t="str">
        <f>"9783837637267"</f>
        <v>9783837637267</v>
      </c>
      <c r="S1236" t="str">
        <f>"9783839437261"</f>
        <v>9783839437261</v>
      </c>
    </row>
    <row r="1237" spans="1:20" x14ac:dyDescent="0.3">
      <c r="A1237">
        <v>1471817</v>
      </c>
      <c r="B1237" t="s">
        <v>5390</v>
      </c>
      <c r="C1237" t="s">
        <v>5391</v>
      </c>
      <c r="D1237" t="s">
        <v>2458</v>
      </c>
      <c r="E1237" t="s">
        <v>2459</v>
      </c>
      <c r="F1237">
        <v>2016</v>
      </c>
      <c r="J1237" t="s">
        <v>2437</v>
      </c>
      <c r="K1237" t="s">
        <v>25</v>
      </c>
      <c r="L1237" t="b">
        <v>1</v>
      </c>
      <c r="M1237" t="s">
        <v>5392</v>
      </c>
      <c r="O1237" t="s">
        <v>5393</v>
      </c>
      <c r="P1237" t="b">
        <v>0</v>
      </c>
      <c r="R1237" t="str">
        <f>"9783837636475"</f>
        <v>9783837636475</v>
      </c>
      <c r="S1237" t="str">
        <f>"9783839436479"</f>
        <v>9783839436479</v>
      </c>
    </row>
    <row r="1238" spans="1:20" x14ac:dyDescent="0.3">
      <c r="A1238">
        <v>1471816</v>
      </c>
      <c r="B1238" t="s">
        <v>5394</v>
      </c>
      <c r="C1238" t="s">
        <v>5395</v>
      </c>
      <c r="D1238" t="s">
        <v>2458</v>
      </c>
      <c r="E1238" t="s">
        <v>2459</v>
      </c>
      <c r="F1238">
        <v>2016</v>
      </c>
      <c r="J1238" t="s">
        <v>2437</v>
      </c>
      <c r="K1238" t="s">
        <v>25</v>
      </c>
      <c r="L1238" t="b">
        <v>1</v>
      </c>
      <c r="M1238" t="s">
        <v>5396</v>
      </c>
      <c r="O1238" t="s">
        <v>5383</v>
      </c>
      <c r="P1238" t="b">
        <v>0</v>
      </c>
      <c r="R1238" t="str">
        <f>"9783837636444"</f>
        <v>9783837636444</v>
      </c>
      <c r="S1238" t="str">
        <f>"9783839436448"</f>
        <v>9783839436448</v>
      </c>
    </row>
    <row r="1239" spans="1:20" x14ac:dyDescent="0.3">
      <c r="A1239">
        <v>1471813</v>
      </c>
      <c r="B1239" t="s">
        <v>5397</v>
      </c>
      <c r="C1239" t="s">
        <v>5398</v>
      </c>
      <c r="D1239" t="s">
        <v>2458</v>
      </c>
      <c r="E1239" t="s">
        <v>2459</v>
      </c>
      <c r="F1239">
        <v>2016</v>
      </c>
      <c r="G1239" t="s">
        <v>4622</v>
      </c>
      <c r="H1239" t="s">
        <v>5399</v>
      </c>
      <c r="I1239" t="s">
        <v>5400</v>
      </c>
      <c r="J1239" t="s">
        <v>2437</v>
      </c>
      <c r="K1239" t="s">
        <v>25</v>
      </c>
      <c r="L1239" t="b">
        <v>1</v>
      </c>
      <c r="M1239" t="s">
        <v>5401</v>
      </c>
      <c r="N1239" t="str">
        <f>"780"</f>
        <v>780</v>
      </c>
      <c r="O1239" t="s">
        <v>5402</v>
      </c>
      <c r="P1239" t="b">
        <v>0</v>
      </c>
      <c r="R1239" t="str">
        <f>"9783837636208"</f>
        <v>9783837636208</v>
      </c>
      <c r="S1239" t="str">
        <f>"9783839436202"</f>
        <v>9783839436202</v>
      </c>
      <c r="T1239">
        <v>976395395</v>
      </c>
    </row>
    <row r="1240" spans="1:20" x14ac:dyDescent="0.3">
      <c r="A1240">
        <v>1471807</v>
      </c>
      <c r="B1240" t="s">
        <v>5403</v>
      </c>
      <c r="C1240" t="s">
        <v>5404</v>
      </c>
      <c r="D1240" t="s">
        <v>2458</v>
      </c>
      <c r="E1240" t="s">
        <v>2459</v>
      </c>
      <c r="F1240">
        <v>2016</v>
      </c>
      <c r="J1240" t="s">
        <v>2437</v>
      </c>
      <c r="K1240" t="s">
        <v>25</v>
      </c>
      <c r="L1240" t="b">
        <v>1</v>
      </c>
      <c r="M1240" t="s">
        <v>5405</v>
      </c>
      <c r="O1240" t="s">
        <v>2494</v>
      </c>
      <c r="P1240" t="b">
        <v>0</v>
      </c>
      <c r="R1240" t="str">
        <f>"9783837635553"</f>
        <v>9783837635553</v>
      </c>
      <c r="S1240" t="str">
        <f>"9783839435557"</f>
        <v>9783839435557</v>
      </c>
    </row>
    <row r="1241" spans="1:20" x14ac:dyDescent="0.3">
      <c r="A1241">
        <v>1471804</v>
      </c>
      <c r="B1241" t="s">
        <v>5406</v>
      </c>
      <c r="C1241" t="s">
        <v>5407</v>
      </c>
      <c r="D1241" t="s">
        <v>2458</v>
      </c>
      <c r="E1241" t="s">
        <v>2459</v>
      </c>
      <c r="F1241">
        <v>2016</v>
      </c>
      <c r="J1241" t="s">
        <v>2437</v>
      </c>
      <c r="K1241" t="s">
        <v>25</v>
      </c>
      <c r="L1241" t="b">
        <v>1</v>
      </c>
      <c r="M1241" t="s">
        <v>5408</v>
      </c>
      <c r="O1241" t="s">
        <v>5379</v>
      </c>
      <c r="P1241" t="b">
        <v>0</v>
      </c>
      <c r="R1241" t="str">
        <f>"9783837635263"</f>
        <v>9783837635263</v>
      </c>
      <c r="S1241" t="str">
        <f>"9783839435267"</f>
        <v>9783839435267</v>
      </c>
    </row>
    <row r="1242" spans="1:20" x14ac:dyDescent="0.3">
      <c r="A1242">
        <v>1471801</v>
      </c>
      <c r="B1242" t="s">
        <v>5409</v>
      </c>
      <c r="C1242" t="s">
        <v>5410</v>
      </c>
      <c r="D1242" t="s">
        <v>2458</v>
      </c>
      <c r="E1242" t="s">
        <v>2459</v>
      </c>
      <c r="F1242">
        <v>2016</v>
      </c>
      <c r="J1242" t="s">
        <v>2437</v>
      </c>
      <c r="K1242" t="s">
        <v>25</v>
      </c>
      <c r="L1242" t="b">
        <v>1</v>
      </c>
      <c r="M1242" t="s">
        <v>5411</v>
      </c>
      <c r="O1242" t="s">
        <v>2501</v>
      </c>
      <c r="P1242" t="b">
        <v>0</v>
      </c>
      <c r="R1242" t="str">
        <f>"9783837634839"</f>
        <v>9783837634839</v>
      </c>
      <c r="S1242" t="str">
        <f>"9783839434833"</f>
        <v>9783839434833</v>
      </c>
    </row>
    <row r="1243" spans="1:20" x14ac:dyDescent="0.3">
      <c r="A1243">
        <v>1471797</v>
      </c>
      <c r="B1243" t="s">
        <v>5412</v>
      </c>
      <c r="C1243" t="s">
        <v>5413</v>
      </c>
      <c r="D1243" t="s">
        <v>2458</v>
      </c>
      <c r="E1243" t="s">
        <v>2459</v>
      </c>
      <c r="F1243">
        <v>2016</v>
      </c>
      <c r="J1243" t="s">
        <v>2437</v>
      </c>
      <c r="K1243" t="s">
        <v>25</v>
      </c>
      <c r="L1243" t="b">
        <v>1</v>
      </c>
      <c r="M1243" t="s">
        <v>5414</v>
      </c>
      <c r="O1243" t="s">
        <v>2541</v>
      </c>
      <c r="P1243" t="b">
        <v>0</v>
      </c>
      <c r="R1243" t="str">
        <f>"9783837634495"</f>
        <v>9783837634495</v>
      </c>
      <c r="S1243" t="str">
        <f>"9783839434499"</f>
        <v>9783839434499</v>
      </c>
    </row>
    <row r="1244" spans="1:20" x14ac:dyDescent="0.3">
      <c r="A1244">
        <v>1471796</v>
      </c>
      <c r="B1244" t="s">
        <v>5415</v>
      </c>
      <c r="C1244" t="s">
        <v>5416</v>
      </c>
      <c r="D1244" t="s">
        <v>2458</v>
      </c>
      <c r="E1244" t="s">
        <v>2459</v>
      </c>
      <c r="F1244">
        <v>2016</v>
      </c>
      <c r="J1244" t="s">
        <v>2437</v>
      </c>
      <c r="K1244" t="s">
        <v>25</v>
      </c>
      <c r="L1244" t="b">
        <v>1</v>
      </c>
      <c r="M1244" t="s">
        <v>5417</v>
      </c>
      <c r="O1244" t="s">
        <v>2501</v>
      </c>
      <c r="P1244" t="b">
        <v>0</v>
      </c>
      <c r="R1244" t="str">
        <f>"9783837634389"</f>
        <v>9783837634389</v>
      </c>
      <c r="S1244" t="str">
        <f>"9783839434383"</f>
        <v>9783839434383</v>
      </c>
    </row>
    <row r="1245" spans="1:20" x14ac:dyDescent="0.3">
      <c r="A1245">
        <v>1471794</v>
      </c>
      <c r="B1245" t="s">
        <v>5418</v>
      </c>
      <c r="C1245" t="s">
        <v>5419</v>
      </c>
      <c r="D1245" t="s">
        <v>2458</v>
      </c>
      <c r="E1245" t="s">
        <v>2459</v>
      </c>
      <c r="F1245">
        <v>2016</v>
      </c>
      <c r="J1245" t="s">
        <v>2437</v>
      </c>
      <c r="K1245" t="s">
        <v>25</v>
      </c>
      <c r="L1245" t="b">
        <v>1</v>
      </c>
      <c r="M1245" t="s">
        <v>5420</v>
      </c>
      <c r="O1245" t="s">
        <v>2527</v>
      </c>
      <c r="P1245" t="b">
        <v>0</v>
      </c>
      <c r="R1245" t="str">
        <f>"9783837634037"</f>
        <v>9783837634037</v>
      </c>
      <c r="S1245" t="str">
        <f>"9783839434031"</f>
        <v>9783839434031</v>
      </c>
    </row>
    <row r="1246" spans="1:20" x14ac:dyDescent="0.3">
      <c r="A1246">
        <v>1471793</v>
      </c>
      <c r="B1246" t="s">
        <v>5421</v>
      </c>
      <c r="C1246" t="s">
        <v>5422</v>
      </c>
      <c r="D1246" t="s">
        <v>2458</v>
      </c>
      <c r="E1246" t="s">
        <v>2459</v>
      </c>
      <c r="F1246">
        <v>2016</v>
      </c>
      <c r="J1246" t="s">
        <v>2437</v>
      </c>
      <c r="K1246" t="s">
        <v>25</v>
      </c>
      <c r="L1246" t="b">
        <v>1</v>
      </c>
      <c r="M1246" t="s">
        <v>5423</v>
      </c>
      <c r="O1246" t="s">
        <v>2518</v>
      </c>
      <c r="P1246" t="b">
        <v>0</v>
      </c>
      <c r="R1246" t="str">
        <f>"9783837633832"</f>
        <v>9783837633832</v>
      </c>
      <c r="S1246" t="str">
        <f>"9783839433836"</f>
        <v>9783839433836</v>
      </c>
    </row>
    <row r="1247" spans="1:20" x14ac:dyDescent="0.3">
      <c r="A1247">
        <v>1471792</v>
      </c>
      <c r="B1247" t="s">
        <v>5424</v>
      </c>
      <c r="D1247" t="s">
        <v>2458</v>
      </c>
      <c r="E1247" t="s">
        <v>2459</v>
      </c>
      <c r="F1247">
        <v>2016</v>
      </c>
      <c r="J1247" t="s">
        <v>2437</v>
      </c>
      <c r="K1247" t="s">
        <v>25</v>
      </c>
      <c r="L1247" t="b">
        <v>1</v>
      </c>
      <c r="M1247" t="s">
        <v>5425</v>
      </c>
      <c r="O1247" t="s">
        <v>5426</v>
      </c>
      <c r="P1247" t="b">
        <v>0</v>
      </c>
      <c r="R1247" t="str">
        <f>"9783837633542"</f>
        <v>9783837633542</v>
      </c>
      <c r="S1247" t="str">
        <f>"9783839433546"</f>
        <v>9783839433546</v>
      </c>
    </row>
    <row r="1248" spans="1:20" x14ac:dyDescent="0.3">
      <c r="A1248">
        <v>1470845</v>
      </c>
      <c r="B1248" t="s">
        <v>5427</v>
      </c>
      <c r="C1248" t="s">
        <v>5428</v>
      </c>
      <c r="D1248" t="s">
        <v>2450</v>
      </c>
      <c r="E1248" t="s">
        <v>2451</v>
      </c>
      <c r="F1248">
        <v>2016</v>
      </c>
      <c r="G1248" t="s">
        <v>2903</v>
      </c>
      <c r="H1248" t="s">
        <v>5429</v>
      </c>
      <c r="I1248" t="s">
        <v>5430</v>
      </c>
      <c r="J1248" t="s">
        <v>2437</v>
      </c>
      <c r="K1248" t="s">
        <v>25</v>
      </c>
      <c r="L1248" t="b">
        <v>1</v>
      </c>
      <c r="M1248" t="s">
        <v>5431</v>
      </c>
      <c r="N1248" t="str">
        <f>"200"</f>
        <v>200</v>
      </c>
      <c r="P1248" t="b">
        <v>0</v>
      </c>
      <c r="R1248" t="str">
        <f>"9783959482066"</f>
        <v>9783959482066</v>
      </c>
      <c r="S1248" t="str">
        <f>"9783869459943"</f>
        <v>9783869459943</v>
      </c>
      <c r="T1248">
        <v>973325310</v>
      </c>
    </row>
    <row r="1249" spans="1:20" x14ac:dyDescent="0.3">
      <c r="A1249">
        <v>1470834</v>
      </c>
      <c r="B1249" t="s">
        <v>5432</v>
      </c>
      <c r="D1249" t="s">
        <v>5433</v>
      </c>
      <c r="E1249" t="s">
        <v>5434</v>
      </c>
      <c r="F1249">
        <v>2015</v>
      </c>
      <c r="G1249" t="s">
        <v>5435</v>
      </c>
      <c r="H1249" t="s">
        <v>5436</v>
      </c>
      <c r="I1249" t="s">
        <v>5437</v>
      </c>
      <c r="J1249" t="s">
        <v>24</v>
      </c>
      <c r="K1249" t="s">
        <v>25</v>
      </c>
      <c r="L1249" t="b">
        <v>1</v>
      </c>
      <c r="M1249" t="s">
        <v>5434</v>
      </c>
      <c r="N1249" t="str">
        <f>"381.142"</f>
        <v>381.142</v>
      </c>
      <c r="O1249" t="s">
        <v>5438</v>
      </c>
      <c r="P1249" t="b">
        <v>0</v>
      </c>
      <c r="R1249" t="str">
        <f>"9781785608711"</f>
        <v>9781785608711</v>
      </c>
      <c r="S1249" t="str">
        <f>"9781785608704"</f>
        <v>9781785608704</v>
      </c>
      <c r="T1249">
        <v>1051299521</v>
      </c>
    </row>
    <row r="1250" spans="1:20" x14ac:dyDescent="0.3">
      <c r="A1250">
        <v>1470804</v>
      </c>
      <c r="B1250" t="s">
        <v>5439</v>
      </c>
      <c r="C1250" t="s">
        <v>5440</v>
      </c>
      <c r="D1250" t="s">
        <v>5441</v>
      </c>
      <c r="E1250" t="s">
        <v>5442</v>
      </c>
      <c r="F1250">
        <v>2017</v>
      </c>
      <c r="G1250" t="s">
        <v>1539</v>
      </c>
      <c r="H1250" t="s">
        <v>5443</v>
      </c>
      <c r="I1250" t="s">
        <v>5444</v>
      </c>
      <c r="J1250" t="s">
        <v>24</v>
      </c>
      <c r="K1250" t="s">
        <v>269</v>
      </c>
      <c r="L1250" t="b">
        <v>1</v>
      </c>
      <c r="M1250" t="s">
        <v>5445</v>
      </c>
      <c r="N1250" t="str">
        <f>"791.4302/8092"</f>
        <v>791.4302/8092</v>
      </c>
      <c r="O1250" t="s">
        <v>5446</v>
      </c>
      <c r="P1250" t="b">
        <v>0</v>
      </c>
      <c r="R1250" t="str">
        <f>"9780813174259"</f>
        <v>9780813174259</v>
      </c>
      <c r="S1250" t="str">
        <f>"9780813174266"</f>
        <v>9780813174266</v>
      </c>
      <c r="T1250">
        <v>1005921886</v>
      </c>
    </row>
    <row r="1251" spans="1:20" x14ac:dyDescent="0.3">
      <c r="A1251">
        <v>1470803</v>
      </c>
      <c r="B1251" t="s">
        <v>5447</v>
      </c>
      <c r="C1251" t="s">
        <v>5448</v>
      </c>
      <c r="D1251" t="s">
        <v>5441</v>
      </c>
      <c r="E1251" t="s">
        <v>5442</v>
      </c>
      <c r="F1251">
        <v>2017</v>
      </c>
      <c r="G1251" t="s">
        <v>802</v>
      </c>
      <c r="H1251" t="s">
        <v>5449</v>
      </c>
      <c r="I1251" t="s">
        <v>5450</v>
      </c>
      <c r="J1251" t="s">
        <v>24</v>
      </c>
      <c r="K1251" t="s">
        <v>269</v>
      </c>
      <c r="L1251" t="b">
        <v>1</v>
      </c>
      <c r="M1251" t="s">
        <v>5451</v>
      </c>
      <c r="N1251" t="str">
        <f>"791.4302/80922"</f>
        <v>791.4302/80922</v>
      </c>
      <c r="O1251" t="s">
        <v>5446</v>
      </c>
      <c r="P1251" t="b">
        <v>0</v>
      </c>
      <c r="R1251" t="str">
        <f>"9780813174211"</f>
        <v>9780813174211</v>
      </c>
      <c r="S1251" t="str">
        <f>"9780813174228"</f>
        <v>9780813174228</v>
      </c>
      <c r="T1251">
        <v>1001433437</v>
      </c>
    </row>
    <row r="1252" spans="1:20" x14ac:dyDescent="0.3">
      <c r="A1252">
        <v>1470802</v>
      </c>
      <c r="B1252" t="s">
        <v>5452</v>
      </c>
      <c r="C1252" t="s">
        <v>5453</v>
      </c>
      <c r="D1252" t="s">
        <v>5441</v>
      </c>
      <c r="E1252" t="s">
        <v>5442</v>
      </c>
      <c r="F1252">
        <v>2017</v>
      </c>
      <c r="G1252" t="s">
        <v>2025</v>
      </c>
      <c r="H1252" t="s">
        <v>5454</v>
      </c>
      <c r="I1252" t="s">
        <v>5455</v>
      </c>
      <c r="J1252" t="s">
        <v>24</v>
      </c>
      <c r="K1252" t="s">
        <v>269</v>
      </c>
      <c r="L1252" t="b">
        <v>1</v>
      </c>
      <c r="M1252" t="s">
        <v>5456</v>
      </c>
      <c r="N1252" t="str">
        <f>"811/.52;B"</f>
        <v>811/.52;B</v>
      </c>
      <c r="O1252" t="s">
        <v>1276</v>
      </c>
      <c r="P1252" t="b">
        <v>0</v>
      </c>
      <c r="R1252" t="str">
        <f>"9780813174181"</f>
        <v>9780813174181</v>
      </c>
      <c r="S1252" t="str">
        <f>"9780813174198"</f>
        <v>9780813174198</v>
      </c>
      <c r="T1252">
        <v>1001434242</v>
      </c>
    </row>
    <row r="1253" spans="1:20" x14ac:dyDescent="0.3">
      <c r="A1253">
        <v>1470801</v>
      </c>
      <c r="B1253" t="s">
        <v>5457</v>
      </c>
      <c r="D1253" t="s">
        <v>5441</v>
      </c>
      <c r="E1253" t="s">
        <v>5442</v>
      </c>
      <c r="F1253">
        <v>2017</v>
      </c>
      <c r="G1253" t="s">
        <v>5458</v>
      </c>
      <c r="H1253" t="s">
        <v>5459</v>
      </c>
      <c r="I1253" t="s">
        <v>5460</v>
      </c>
      <c r="J1253" t="s">
        <v>24</v>
      </c>
      <c r="K1253" t="s">
        <v>269</v>
      </c>
      <c r="L1253" t="b">
        <v>1</v>
      </c>
      <c r="M1253" t="s">
        <v>5461</v>
      </c>
      <c r="N1253" t="str">
        <f>"821/.91"</f>
        <v>821/.91</v>
      </c>
      <c r="P1253" t="b">
        <v>0</v>
      </c>
      <c r="R1253" t="str">
        <f>"9780813174075"</f>
        <v>9780813174075</v>
      </c>
      <c r="S1253" t="str">
        <f>"9780813174082"</f>
        <v>9780813174082</v>
      </c>
      <c r="T1253">
        <v>1000384757</v>
      </c>
    </row>
    <row r="1254" spans="1:20" x14ac:dyDescent="0.3">
      <c r="A1254">
        <v>1470798</v>
      </c>
      <c r="B1254" t="s">
        <v>5462</v>
      </c>
      <c r="C1254" t="s">
        <v>5463</v>
      </c>
      <c r="D1254" t="s">
        <v>5441</v>
      </c>
      <c r="E1254" t="s">
        <v>5442</v>
      </c>
      <c r="F1254">
        <v>2017</v>
      </c>
      <c r="G1254" t="s">
        <v>1483</v>
      </c>
      <c r="H1254" t="s">
        <v>5464</v>
      </c>
      <c r="I1254" t="s">
        <v>5465</v>
      </c>
      <c r="J1254" t="s">
        <v>24</v>
      </c>
      <c r="K1254" t="s">
        <v>269</v>
      </c>
      <c r="L1254" t="b">
        <v>1</v>
      </c>
      <c r="M1254" t="s">
        <v>5466</v>
      </c>
      <c r="N1254" t="str">
        <f>"791.4302/32092"</f>
        <v>791.4302/32092</v>
      </c>
      <c r="O1254" t="s">
        <v>5446</v>
      </c>
      <c r="P1254" t="b">
        <v>0</v>
      </c>
      <c r="R1254" t="str">
        <f>"9780813173917"</f>
        <v>9780813173917</v>
      </c>
      <c r="S1254" t="str">
        <f>"9780813173962"</f>
        <v>9780813173962</v>
      </c>
      <c r="T1254">
        <v>1004424348</v>
      </c>
    </row>
    <row r="1255" spans="1:20" x14ac:dyDescent="0.3">
      <c r="A1255">
        <v>1470746</v>
      </c>
      <c r="B1255" t="s">
        <v>5467</v>
      </c>
      <c r="C1255" t="s">
        <v>5468</v>
      </c>
      <c r="D1255" t="s">
        <v>45</v>
      </c>
      <c r="E1255" t="s">
        <v>5343</v>
      </c>
      <c r="F1255">
        <v>2016</v>
      </c>
      <c r="G1255" t="s">
        <v>5469</v>
      </c>
      <c r="J1255" t="s">
        <v>2437</v>
      </c>
      <c r="K1255" t="s">
        <v>25</v>
      </c>
      <c r="L1255" t="b">
        <v>1</v>
      </c>
      <c r="M1255" t="s">
        <v>5470</v>
      </c>
      <c r="O1255" t="s">
        <v>5471</v>
      </c>
      <c r="P1255" t="b">
        <v>0</v>
      </c>
      <c r="R1255" t="str">
        <f>"9783504622299"</f>
        <v>9783504622299</v>
      </c>
      <c r="S1255" t="str">
        <f>"9783504384982"</f>
        <v>9783504384982</v>
      </c>
    </row>
    <row r="1256" spans="1:20" x14ac:dyDescent="0.3">
      <c r="A1256">
        <v>1470624</v>
      </c>
      <c r="B1256" t="s">
        <v>5472</v>
      </c>
      <c r="D1256" t="s">
        <v>2597</v>
      </c>
      <c r="E1256" t="s">
        <v>2598</v>
      </c>
      <c r="F1256">
        <v>2016</v>
      </c>
      <c r="J1256" t="s">
        <v>543</v>
      </c>
      <c r="K1256" t="s">
        <v>25</v>
      </c>
      <c r="L1256" t="b">
        <v>1</v>
      </c>
      <c r="M1256" t="s">
        <v>3884</v>
      </c>
      <c r="P1256" t="b">
        <v>0</v>
      </c>
      <c r="R1256" t="str">
        <f>"9781475532258"</f>
        <v>9781475532258</v>
      </c>
      <c r="S1256" t="str">
        <f>"9781475539516"</f>
        <v>9781475539516</v>
      </c>
    </row>
    <row r="1257" spans="1:20" x14ac:dyDescent="0.3">
      <c r="A1257">
        <v>1470578</v>
      </c>
      <c r="B1257" t="s">
        <v>5473</v>
      </c>
      <c r="C1257" t="s">
        <v>5474</v>
      </c>
      <c r="D1257" t="s">
        <v>45</v>
      </c>
      <c r="E1257" t="s">
        <v>5475</v>
      </c>
      <c r="F1257">
        <v>2016</v>
      </c>
      <c r="G1257" t="s">
        <v>5476</v>
      </c>
      <c r="J1257" t="s">
        <v>2437</v>
      </c>
      <c r="K1257" t="s">
        <v>25</v>
      </c>
      <c r="L1257" t="b">
        <v>1</v>
      </c>
      <c r="M1257" t="s">
        <v>5477</v>
      </c>
      <c r="P1257" t="b">
        <v>0</v>
      </c>
      <c r="R1257" t="str">
        <f>"9783035609547"</f>
        <v>9783035609547</v>
      </c>
      <c r="S1257" t="str">
        <f>"9783035607444"</f>
        <v>9783035607444</v>
      </c>
    </row>
    <row r="1258" spans="1:20" x14ac:dyDescent="0.3">
      <c r="A1258">
        <v>1470577</v>
      </c>
      <c r="B1258" t="s">
        <v>5478</v>
      </c>
      <c r="C1258" t="s">
        <v>5479</v>
      </c>
      <c r="D1258" t="s">
        <v>45</v>
      </c>
      <c r="E1258" t="s">
        <v>5475</v>
      </c>
      <c r="F1258">
        <v>2016</v>
      </c>
      <c r="G1258" t="s">
        <v>5480</v>
      </c>
      <c r="J1258" t="s">
        <v>2437</v>
      </c>
      <c r="K1258" t="s">
        <v>25</v>
      </c>
      <c r="L1258" t="b">
        <v>1</v>
      </c>
      <c r="M1258" t="s">
        <v>5481</v>
      </c>
      <c r="P1258" t="b">
        <v>0</v>
      </c>
      <c r="R1258" t="str">
        <f>"9783035605600"</f>
        <v>9783035605600</v>
      </c>
      <c r="S1258" t="str">
        <f>"9783035604955"</f>
        <v>9783035604955</v>
      </c>
    </row>
    <row r="1259" spans="1:20" x14ac:dyDescent="0.3">
      <c r="A1259">
        <v>1469004</v>
      </c>
      <c r="B1259" t="s">
        <v>5482</v>
      </c>
      <c r="D1259" t="s">
        <v>3445</v>
      </c>
      <c r="E1259" t="s">
        <v>3446</v>
      </c>
      <c r="F1259">
        <v>2017</v>
      </c>
      <c r="G1259" t="s">
        <v>2650</v>
      </c>
      <c r="H1259" t="s">
        <v>5483</v>
      </c>
      <c r="I1259" t="s">
        <v>5484</v>
      </c>
      <c r="J1259" t="s">
        <v>24</v>
      </c>
      <c r="K1259" t="s">
        <v>25</v>
      </c>
      <c r="L1259" t="b">
        <v>1</v>
      </c>
      <c r="M1259" t="s">
        <v>5485</v>
      </c>
      <c r="N1259" t="str">
        <f>"658.4038011"</f>
        <v>658.4038011</v>
      </c>
      <c r="P1259" t="b">
        <v>0</v>
      </c>
      <c r="Q1259" t="b">
        <v>0</v>
      </c>
      <c r="R1259" t="str">
        <f>"9781562867676"</f>
        <v>9781562867676</v>
      </c>
      <c r="S1259" t="str">
        <f>"9781562867478"</f>
        <v>9781562867478</v>
      </c>
      <c r="T1259">
        <v>972900542</v>
      </c>
    </row>
    <row r="1260" spans="1:20" x14ac:dyDescent="0.3">
      <c r="A1260">
        <v>1467685</v>
      </c>
      <c r="B1260" t="s">
        <v>5486</v>
      </c>
      <c r="C1260" t="s">
        <v>5487</v>
      </c>
      <c r="D1260" t="s">
        <v>1004</v>
      </c>
      <c r="E1260" t="s">
        <v>1004</v>
      </c>
      <c r="F1260">
        <v>2016</v>
      </c>
      <c r="G1260" t="s">
        <v>851</v>
      </c>
      <c r="H1260" t="s">
        <v>5488</v>
      </c>
      <c r="I1260" t="s">
        <v>5489</v>
      </c>
      <c r="J1260" t="s">
        <v>854</v>
      </c>
      <c r="K1260" t="s">
        <v>25</v>
      </c>
      <c r="L1260" t="b">
        <v>1</v>
      </c>
      <c r="M1260" t="s">
        <v>5490</v>
      </c>
      <c r="N1260" t="str">
        <f>"305.30943"</f>
        <v>305.30943</v>
      </c>
      <c r="P1260" t="b">
        <v>0</v>
      </c>
      <c r="Q1260" t="b">
        <v>0</v>
      </c>
      <c r="R1260" t="str">
        <f>"9788024635408"</f>
        <v>9788024635408</v>
      </c>
      <c r="S1260" t="str">
        <f>"9788024635415"</f>
        <v>9788024635415</v>
      </c>
      <c r="T1260">
        <v>973182058</v>
      </c>
    </row>
    <row r="1261" spans="1:20" x14ac:dyDescent="0.3">
      <c r="A1261">
        <v>1467684</v>
      </c>
      <c r="B1261" t="s">
        <v>5491</v>
      </c>
      <c r="D1261" t="s">
        <v>1004</v>
      </c>
      <c r="E1261" t="s">
        <v>1004</v>
      </c>
      <c r="F1261">
        <v>2016</v>
      </c>
      <c r="G1261" t="s">
        <v>2666</v>
      </c>
      <c r="H1261" t="s">
        <v>5492</v>
      </c>
      <c r="I1261" t="s">
        <v>5493</v>
      </c>
      <c r="J1261" t="s">
        <v>854</v>
      </c>
      <c r="K1261" t="s">
        <v>25</v>
      </c>
      <c r="L1261" t="b">
        <v>1</v>
      </c>
      <c r="M1261" t="s">
        <v>5494</v>
      </c>
      <c r="N1261" t="str">
        <f>"616.99/5"</f>
        <v>616.99/5</v>
      </c>
      <c r="O1261" t="s">
        <v>5495</v>
      </c>
      <c r="P1261" t="b">
        <v>0</v>
      </c>
      <c r="Q1261" t="b">
        <v>0</v>
      </c>
      <c r="R1261" t="str">
        <f>"9788024634760"</f>
        <v>9788024634760</v>
      </c>
      <c r="S1261" t="str">
        <f>"9788024635217"</f>
        <v>9788024635217</v>
      </c>
      <c r="T1261">
        <v>973191080</v>
      </c>
    </row>
    <row r="1262" spans="1:20" x14ac:dyDescent="0.3">
      <c r="A1262">
        <v>1467683</v>
      </c>
      <c r="B1262" t="s">
        <v>5496</v>
      </c>
      <c r="D1262" t="s">
        <v>1004</v>
      </c>
      <c r="E1262" t="s">
        <v>1004</v>
      </c>
      <c r="F1262">
        <v>2016</v>
      </c>
      <c r="G1262" t="s">
        <v>3611</v>
      </c>
      <c r="H1262" t="s">
        <v>5497</v>
      </c>
      <c r="I1262" t="s">
        <v>5498</v>
      </c>
      <c r="J1262" t="s">
        <v>854</v>
      </c>
      <c r="K1262" t="s">
        <v>25</v>
      </c>
      <c r="L1262" t="b">
        <v>1</v>
      </c>
      <c r="M1262" t="s">
        <v>5499</v>
      </c>
      <c r="N1262" t="str">
        <f>"940.54/88943"</f>
        <v>940.54/88943</v>
      </c>
      <c r="P1262" t="b">
        <v>0</v>
      </c>
      <c r="Q1262" t="b">
        <v>0</v>
      </c>
      <c r="R1262" t="str">
        <f>"9788024634135"</f>
        <v>9788024634135</v>
      </c>
      <c r="S1262" t="str">
        <f>"9788024635026"</f>
        <v>9788024635026</v>
      </c>
      <c r="T1262">
        <v>973191125</v>
      </c>
    </row>
    <row r="1263" spans="1:20" x14ac:dyDescent="0.3">
      <c r="A1263">
        <v>1467680</v>
      </c>
      <c r="B1263" t="s">
        <v>5500</v>
      </c>
      <c r="C1263" t="s">
        <v>5501</v>
      </c>
      <c r="D1263" t="s">
        <v>1004</v>
      </c>
      <c r="E1263" t="s">
        <v>1004</v>
      </c>
      <c r="F1263">
        <v>2016</v>
      </c>
      <c r="G1263" t="s">
        <v>5212</v>
      </c>
      <c r="H1263" t="s">
        <v>5502</v>
      </c>
      <c r="I1263" t="s">
        <v>5503</v>
      </c>
      <c r="J1263" t="s">
        <v>854</v>
      </c>
      <c r="K1263" t="s">
        <v>25</v>
      </c>
      <c r="L1263" t="b">
        <v>1</v>
      </c>
      <c r="M1263" t="s">
        <v>5504</v>
      </c>
      <c r="N1263" t="str">
        <f>"302.30285"</f>
        <v>302.30285</v>
      </c>
      <c r="P1263" t="b">
        <v>0</v>
      </c>
      <c r="Q1263" t="b">
        <v>0</v>
      </c>
      <c r="R1263" t="str">
        <f>"9788024633060"</f>
        <v>9788024633060</v>
      </c>
      <c r="S1263" t="str">
        <f>"9788024633244"</f>
        <v>9788024633244</v>
      </c>
      <c r="T1263">
        <v>973191531</v>
      </c>
    </row>
    <row r="1264" spans="1:20" x14ac:dyDescent="0.3">
      <c r="A1264">
        <v>1467679</v>
      </c>
      <c r="B1264" t="s">
        <v>5505</v>
      </c>
      <c r="D1264" t="s">
        <v>1004</v>
      </c>
      <c r="E1264" t="s">
        <v>1004</v>
      </c>
      <c r="F1264">
        <v>2016</v>
      </c>
      <c r="G1264" t="s">
        <v>2592</v>
      </c>
      <c r="H1264" t="s">
        <v>5506</v>
      </c>
      <c r="I1264" t="s">
        <v>5507</v>
      </c>
      <c r="J1264" t="s">
        <v>580</v>
      </c>
      <c r="K1264" t="s">
        <v>25</v>
      </c>
      <c r="L1264" t="b">
        <v>1</v>
      </c>
      <c r="M1264" t="s">
        <v>5508</v>
      </c>
      <c r="N1264" t="str">
        <f>"362.098"</f>
        <v>362.098</v>
      </c>
      <c r="O1264" t="s">
        <v>5509</v>
      </c>
      <c r="P1264" t="b">
        <v>0</v>
      </c>
      <c r="Q1264" t="b">
        <v>0</v>
      </c>
      <c r="R1264" t="str">
        <f>"9788024631660"</f>
        <v>9788024631660</v>
      </c>
      <c r="S1264" t="str">
        <f>"9788024631905"</f>
        <v>9788024631905</v>
      </c>
      <c r="T1264">
        <v>973182889</v>
      </c>
    </row>
    <row r="1265" spans="1:19" x14ac:dyDescent="0.3">
      <c r="A1265">
        <v>1466821</v>
      </c>
      <c r="B1265" t="s">
        <v>5510</v>
      </c>
      <c r="C1265" t="s">
        <v>5511</v>
      </c>
      <c r="D1265" t="s">
        <v>45</v>
      </c>
      <c r="E1265" t="s">
        <v>45</v>
      </c>
      <c r="F1265">
        <v>2016</v>
      </c>
      <c r="G1265" t="s">
        <v>1005</v>
      </c>
      <c r="J1265" t="s">
        <v>2437</v>
      </c>
      <c r="K1265" t="s">
        <v>269</v>
      </c>
      <c r="L1265" t="b">
        <v>1</v>
      </c>
      <c r="M1265" t="s">
        <v>5512</v>
      </c>
      <c r="O1265" t="s">
        <v>5513</v>
      </c>
      <c r="P1265" t="b">
        <v>0</v>
      </c>
      <c r="R1265" t="str">
        <f>"9783110441789"</f>
        <v>9783110441789</v>
      </c>
      <c r="S1265" t="str">
        <f>"9783110433449"</f>
        <v>9783110433449</v>
      </c>
    </row>
    <row r="1266" spans="1:19" x14ac:dyDescent="0.3">
      <c r="A1266">
        <v>1466820</v>
      </c>
      <c r="B1266" t="s">
        <v>5514</v>
      </c>
      <c r="D1266" t="s">
        <v>45</v>
      </c>
      <c r="E1266" t="s">
        <v>45</v>
      </c>
      <c r="F1266">
        <v>2016</v>
      </c>
      <c r="G1266" t="s">
        <v>5515</v>
      </c>
      <c r="J1266" t="s">
        <v>2437</v>
      </c>
      <c r="K1266" t="s">
        <v>269</v>
      </c>
      <c r="L1266" t="b">
        <v>1</v>
      </c>
      <c r="M1266" t="s">
        <v>5516</v>
      </c>
      <c r="O1266" t="s">
        <v>5517</v>
      </c>
      <c r="P1266" t="b">
        <v>0</v>
      </c>
      <c r="R1266" t="str">
        <f>"9783110465396"</f>
        <v>9783110465396</v>
      </c>
      <c r="S1266" t="str">
        <f>"9783110465471"</f>
        <v>9783110465471</v>
      </c>
    </row>
    <row r="1267" spans="1:19" x14ac:dyDescent="0.3">
      <c r="A1267">
        <v>1466814</v>
      </c>
      <c r="B1267" t="s">
        <v>5518</v>
      </c>
      <c r="C1267" t="s">
        <v>5519</v>
      </c>
      <c r="D1267" t="s">
        <v>45</v>
      </c>
      <c r="E1267" t="s">
        <v>45</v>
      </c>
      <c r="F1267">
        <v>2016</v>
      </c>
      <c r="G1267" t="s">
        <v>5520</v>
      </c>
      <c r="J1267" t="s">
        <v>2437</v>
      </c>
      <c r="K1267" t="s">
        <v>25</v>
      </c>
      <c r="L1267" t="b">
        <v>1</v>
      </c>
      <c r="M1267" t="s">
        <v>5521</v>
      </c>
      <c r="P1267" t="b">
        <v>0</v>
      </c>
      <c r="R1267" t="str">
        <f>"9783110482676"</f>
        <v>9783110482676</v>
      </c>
      <c r="S1267" t="str">
        <f>"9783110483383"</f>
        <v>9783110483383</v>
      </c>
    </row>
    <row r="1268" spans="1:19" x14ac:dyDescent="0.3">
      <c r="A1268">
        <v>1466627</v>
      </c>
      <c r="B1268" t="s">
        <v>5522</v>
      </c>
      <c r="C1268" t="s">
        <v>5523</v>
      </c>
      <c r="D1268" t="s">
        <v>45</v>
      </c>
      <c r="E1268" t="s">
        <v>318</v>
      </c>
      <c r="F1268">
        <v>2016</v>
      </c>
      <c r="G1268" t="s">
        <v>5524</v>
      </c>
      <c r="J1268" t="s">
        <v>2437</v>
      </c>
      <c r="K1268" t="s">
        <v>269</v>
      </c>
      <c r="L1268" t="b">
        <v>1</v>
      </c>
      <c r="M1268" t="s">
        <v>5525</v>
      </c>
      <c r="O1268" t="s">
        <v>5526</v>
      </c>
      <c r="P1268" t="b">
        <v>0</v>
      </c>
      <c r="R1268" t="str">
        <f>"9783110371727"</f>
        <v>9783110371727</v>
      </c>
      <c r="S1268" t="str">
        <f>"9783110439892"</f>
        <v>9783110439892</v>
      </c>
    </row>
    <row r="1269" spans="1:19" x14ac:dyDescent="0.3">
      <c r="A1269">
        <v>1466626</v>
      </c>
      <c r="B1269" t="s">
        <v>5527</v>
      </c>
      <c r="D1269" t="s">
        <v>45</v>
      </c>
      <c r="E1269" t="s">
        <v>45</v>
      </c>
      <c r="F1269">
        <v>2016</v>
      </c>
      <c r="G1269" t="s">
        <v>1920</v>
      </c>
      <c r="J1269" t="s">
        <v>2437</v>
      </c>
      <c r="K1269" t="s">
        <v>269</v>
      </c>
      <c r="L1269" t="b">
        <v>1</v>
      </c>
      <c r="M1269" t="s">
        <v>5528</v>
      </c>
      <c r="O1269" t="s">
        <v>5529</v>
      </c>
      <c r="P1269" t="b">
        <v>0</v>
      </c>
      <c r="R1269" t="str">
        <f>"9783110370928"</f>
        <v>9783110370928</v>
      </c>
      <c r="S1269" t="str">
        <f>"9783110366136"</f>
        <v>9783110366136</v>
      </c>
    </row>
    <row r="1270" spans="1:19" x14ac:dyDescent="0.3">
      <c r="A1270">
        <v>1466624</v>
      </c>
      <c r="B1270" t="s">
        <v>5530</v>
      </c>
      <c r="D1270" t="s">
        <v>45</v>
      </c>
      <c r="E1270" t="s">
        <v>45</v>
      </c>
      <c r="F1270">
        <v>2016</v>
      </c>
      <c r="G1270" t="s">
        <v>1620</v>
      </c>
      <c r="J1270" t="s">
        <v>2437</v>
      </c>
      <c r="K1270" t="s">
        <v>269</v>
      </c>
      <c r="L1270" t="b">
        <v>1</v>
      </c>
      <c r="M1270" t="s">
        <v>5531</v>
      </c>
      <c r="O1270" t="s">
        <v>5532</v>
      </c>
      <c r="P1270" t="b">
        <v>0</v>
      </c>
      <c r="R1270" t="str">
        <f>"9783110311457"</f>
        <v>9783110311457</v>
      </c>
      <c r="S1270" t="str">
        <f>"9783110311600"</f>
        <v>9783110311600</v>
      </c>
    </row>
    <row r="1271" spans="1:19" x14ac:dyDescent="0.3">
      <c r="A1271">
        <v>1465588</v>
      </c>
      <c r="B1271" t="s">
        <v>5533</v>
      </c>
      <c r="D1271" t="s">
        <v>45</v>
      </c>
      <c r="E1271" t="s">
        <v>5343</v>
      </c>
      <c r="F1271">
        <v>2016</v>
      </c>
      <c r="G1271" t="s">
        <v>5534</v>
      </c>
      <c r="J1271" t="s">
        <v>2437</v>
      </c>
      <c r="K1271" t="s">
        <v>25</v>
      </c>
      <c r="L1271" t="b">
        <v>1</v>
      </c>
      <c r="M1271" t="s">
        <v>5535</v>
      </c>
      <c r="O1271" t="s">
        <v>5536</v>
      </c>
      <c r="P1271" t="b">
        <v>0</v>
      </c>
      <c r="S1271" t="str">
        <f>"9783504385033"</f>
        <v>9783504385033</v>
      </c>
    </row>
    <row r="1272" spans="1:19" x14ac:dyDescent="0.3">
      <c r="A1272">
        <v>1465587</v>
      </c>
      <c r="B1272" t="s">
        <v>5537</v>
      </c>
      <c r="D1272" t="s">
        <v>45</v>
      </c>
      <c r="E1272" t="s">
        <v>5343</v>
      </c>
      <c r="F1272">
        <v>2016</v>
      </c>
      <c r="G1272" t="s">
        <v>346</v>
      </c>
      <c r="J1272" t="s">
        <v>2437</v>
      </c>
      <c r="K1272" t="s">
        <v>25</v>
      </c>
      <c r="L1272" t="b">
        <v>1</v>
      </c>
      <c r="M1272" t="s">
        <v>5538</v>
      </c>
      <c r="P1272" t="b">
        <v>0</v>
      </c>
      <c r="S1272" t="str">
        <f>"9783504384760"</f>
        <v>9783504384760</v>
      </c>
    </row>
    <row r="1273" spans="1:19" x14ac:dyDescent="0.3">
      <c r="A1273">
        <v>1465415</v>
      </c>
      <c r="B1273" t="s">
        <v>5539</v>
      </c>
      <c r="C1273" t="s">
        <v>5540</v>
      </c>
      <c r="D1273" t="s">
        <v>45</v>
      </c>
      <c r="E1273" t="s">
        <v>5343</v>
      </c>
      <c r="F1273">
        <v>2016</v>
      </c>
      <c r="G1273" t="s">
        <v>5469</v>
      </c>
      <c r="J1273" t="s">
        <v>2437</v>
      </c>
      <c r="K1273" t="s">
        <v>25</v>
      </c>
      <c r="L1273" t="b">
        <v>1</v>
      </c>
      <c r="M1273" t="s">
        <v>5541</v>
      </c>
      <c r="O1273" t="s">
        <v>5471</v>
      </c>
      <c r="P1273" t="b">
        <v>0</v>
      </c>
      <c r="S1273" t="str">
        <f>"9783504385026"</f>
        <v>9783504385026</v>
      </c>
    </row>
    <row r="1274" spans="1:19" x14ac:dyDescent="0.3">
      <c r="A1274">
        <v>1465413</v>
      </c>
      <c r="B1274" t="s">
        <v>5542</v>
      </c>
      <c r="C1274" t="s">
        <v>5543</v>
      </c>
      <c r="D1274" t="s">
        <v>45</v>
      </c>
      <c r="E1274" t="s">
        <v>5475</v>
      </c>
      <c r="F1274">
        <v>2016</v>
      </c>
      <c r="G1274" t="s">
        <v>5544</v>
      </c>
      <c r="J1274" t="s">
        <v>2437</v>
      </c>
      <c r="K1274" t="s">
        <v>25</v>
      </c>
      <c r="L1274" t="b">
        <v>1</v>
      </c>
      <c r="M1274" t="s">
        <v>5545</v>
      </c>
      <c r="P1274" t="b">
        <v>0</v>
      </c>
      <c r="R1274" t="str">
        <f>"9783035611960"</f>
        <v>9783035611960</v>
      </c>
      <c r="S1274" t="str">
        <f>"9783035610543"</f>
        <v>9783035610543</v>
      </c>
    </row>
    <row r="1275" spans="1:19" x14ac:dyDescent="0.3">
      <c r="A1275">
        <v>1465412</v>
      </c>
      <c r="B1275" t="s">
        <v>5546</v>
      </c>
      <c r="C1275" t="s">
        <v>5547</v>
      </c>
      <c r="D1275" t="s">
        <v>45</v>
      </c>
      <c r="E1275" t="s">
        <v>5475</v>
      </c>
      <c r="F1275">
        <v>2016</v>
      </c>
      <c r="G1275" t="s">
        <v>1232</v>
      </c>
      <c r="J1275" t="s">
        <v>2437</v>
      </c>
      <c r="K1275" t="s">
        <v>25</v>
      </c>
      <c r="L1275" t="b">
        <v>1</v>
      </c>
      <c r="M1275" t="s">
        <v>5548</v>
      </c>
      <c r="O1275" t="s">
        <v>5549</v>
      </c>
      <c r="P1275" t="b">
        <v>0</v>
      </c>
      <c r="R1275" t="str">
        <f>"9783035611205"</f>
        <v>9783035611205</v>
      </c>
      <c r="S1275" t="str">
        <f>"9783035609097"</f>
        <v>9783035609097</v>
      </c>
    </row>
    <row r="1276" spans="1:19" x14ac:dyDescent="0.3">
      <c r="A1276">
        <v>1465411</v>
      </c>
      <c r="B1276" t="s">
        <v>5550</v>
      </c>
      <c r="C1276" t="s">
        <v>5551</v>
      </c>
      <c r="D1276" t="s">
        <v>45</v>
      </c>
      <c r="E1276" t="s">
        <v>5475</v>
      </c>
      <c r="F1276">
        <v>2016</v>
      </c>
      <c r="G1276" t="s">
        <v>5552</v>
      </c>
      <c r="J1276" t="s">
        <v>2437</v>
      </c>
      <c r="K1276" t="s">
        <v>25</v>
      </c>
      <c r="L1276" t="b">
        <v>1</v>
      </c>
      <c r="M1276" t="s">
        <v>5553</v>
      </c>
      <c r="O1276" t="s">
        <v>5549</v>
      </c>
      <c r="P1276" t="b">
        <v>0</v>
      </c>
      <c r="R1276" t="str">
        <f>"9783035611182"</f>
        <v>9783035611182</v>
      </c>
      <c r="S1276" t="str">
        <f>"9783035608991"</f>
        <v>9783035608991</v>
      </c>
    </row>
    <row r="1277" spans="1:19" x14ac:dyDescent="0.3">
      <c r="A1277">
        <v>1465407</v>
      </c>
      <c r="B1277" t="s">
        <v>5554</v>
      </c>
      <c r="C1277" t="s">
        <v>5555</v>
      </c>
      <c r="D1277" t="s">
        <v>45</v>
      </c>
      <c r="E1277" t="s">
        <v>5348</v>
      </c>
      <c r="F1277">
        <v>2016</v>
      </c>
      <c r="G1277" t="s">
        <v>5253</v>
      </c>
      <c r="J1277" t="s">
        <v>2437</v>
      </c>
      <c r="K1277" t="s">
        <v>25</v>
      </c>
      <c r="L1277" t="b">
        <v>1</v>
      </c>
      <c r="M1277" t="s">
        <v>5556</v>
      </c>
      <c r="P1277" t="b">
        <v>0</v>
      </c>
      <c r="S1277" t="str">
        <f>"9783205204633"</f>
        <v>9783205204633</v>
      </c>
    </row>
    <row r="1278" spans="1:19" x14ac:dyDescent="0.3">
      <c r="A1278">
        <v>1465405</v>
      </c>
      <c r="B1278" t="s">
        <v>5557</v>
      </c>
      <c r="D1278" t="s">
        <v>45</v>
      </c>
      <c r="E1278" t="s">
        <v>5348</v>
      </c>
      <c r="F1278">
        <v>2016</v>
      </c>
      <c r="G1278" t="s">
        <v>104</v>
      </c>
      <c r="J1278" t="s">
        <v>2437</v>
      </c>
      <c r="K1278" t="s">
        <v>25</v>
      </c>
      <c r="L1278" t="b">
        <v>1</v>
      </c>
      <c r="M1278" t="s">
        <v>5558</v>
      </c>
      <c r="P1278" t="b">
        <v>1</v>
      </c>
      <c r="S1278" t="str">
        <f>"9783205204688"</f>
        <v>9783205204688</v>
      </c>
    </row>
    <row r="1279" spans="1:19" x14ac:dyDescent="0.3">
      <c r="A1279">
        <v>1465404</v>
      </c>
      <c r="B1279" t="s">
        <v>5559</v>
      </c>
      <c r="D1279" t="s">
        <v>45</v>
      </c>
      <c r="E1279" t="s">
        <v>5348</v>
      </c>
      <c r="F1279">
        <v>2016</v>
      </c>
      <c r="G1279" t="s">
        <v>3547</v>
      </c>
      <c r="J1279" t="s">
        <v>2437</v>
      </c>
      <c r="K1279" t="s">
        <v>25</v>
      </c>
      <c r="L1279" t="b">
        <v>1</v>
      </c>
      <c r="M1279" t="s">
        <v>5560</v>
      </c>
      <c r="P1279" t="b">
        <v>1</v>
      </c>
      <c r="S1279" t="str">
        <f>"9783412506582"</f>
        <v>9783412506582</v>
      </c>
    </row>
    <row r="1280" spans="1:19" x14ac:dyDescent="0.3">
      <c r="A1280">
        <v>1465403</v>
      </c>
      <c r="B1280" t="s">
        <v>5561</v>
      </c>
      <c r="C1280" t="s">
        <v>5562</v>
      </c>
      <c r="D1280" t="s">
        <v>45</v>
      </c>
      <c r="E1280" t="s">
        <v>5348</v>
      </c>
      <c r="F1280">
        <v>2016</v>
      </c>
      <c r="G1280" t="s">
        <v>2425</v>
      </c>
      <c r="J1280" t="s">
        <v>2437</v>
      </c>
      <c r="K1280" t="s">
        <v>25</v>
      </c>
      <c r="L1280" t="b">
        <v>1</v>
      </c>
      <c r="M1280" t="s">
        <v>5563</v>
      </c>
      <c r="P1280" t="b">
        <v>0</v>
      </c>
      <c r="S1280" t="str">
        <f>"9783412506919"</f>
        <v>9783412506919</v>
      </c>
    </row>
    <row r="1281" spans="1:20" x14ac:dyDescent="0.3">
      <c r="A1281">
        <v>1465402</v>
      </c>
      <c r="B1281" t="s">
        <v>5564</v>
      </c>
      <c r="C1281" t="s">
        <v>5565</v>
      </c>
      <c r="D1281" t="s">
        <v>45</v>
      </c>
      <c r="E1281" t="s">
        <v>5348</v>
      </c>
      <c r="F1281">
        <v>2016</v>
      </c>
      <c r="G1281" t="s">
        <v>2425</v>
      </c>
      <c r="J1281" t="s">
        <v>2437</v>
      </c>
      <c r="K1281" t="s">
        <v>25</v>
      </c>
      <c r="L1281" t="b">
        <v>1</v>
      </c>
      <c r="M1281" t="s">
        <v>5566</v>
      </c>
      <c r="P1281" t="b">
        <v>0</v>
      </c>
      <c r="S1281" t="str">
        <f>"9783412506544"</f>
        <v>9783412506544</v>
      </c>
    </row>
    <row r="1282" spans="1:20" x14ac:dyDescent="0.3">
      <c r="A1282">
        <v>1465400</v>
      </c>
      <c r="B1282" t="s">
        <v>5567</v>
      </c>
      <c r="C1282" t="s">
        <v>5568</v>
      </c>
      <c r="D1282" t="s">
        <v>45</v>
      </c>
      <c r="E1282" t="s">
        <v>5348</v>
      </c>
      <c r="F1282">
        <v>2016</v>
      </c>
      <c r="G1282" t="s">
        <v>5569</v>
      </c>
      <c r="J1282" t="s">
        <v>2437</v>
      </c>
      <c r="K1282" t="s">
        <v>25</v>
      </c>
      <c r="L1282" t="b">
        <v>1</v>
      </c>
      <c r="M1282" t="s">
        <v>5570</v>
      </c>
      <c r="P1282" t="b">
        <v>0</v>
      </c>
      <c r="S1282" t="str">
        <f>"9783412504632"</f>
        <v>9783412504632</v>
      </c>
    </row>
    <row r="1283" spans="1:20" x14ac:dyDescent="0.3">
      <c r="A1283">
        <v>1465399</v>
      </c>
      <c r="B1283" t="s">
        <v>5571</v>
      </c>
      <c r="C1283" t="s">
        <v>5572</v>
      </c>
      <c r="D1283" t="s">
        <v>45</v>
      </c>
      <c r="E1283" t="s">
        <v>5348</v>
      </c>
      <c r="F1283">
        <v>2016</v>
      </c>
      <c r="G1283" t="s">
        <v>97</v>
      </c>
      <c r="J1283" t="s">
        <v>2437</v>
      </c>
      <c r="K1283" t="s">
        <v>25</v>
      </c>
      <c r="L1283" t="b">
        <v>1</v>
      </c>
      <c r="M1283" t="s">
        <v>5573</v>
      </c>
      <c r="P1283" t="b">
        <v>0</v>
      </c>
      <c r="S1283" t="str">
        <f>"9783412507008"</f>
        <v>9783412507008</v>
      </c>
    </row>
    <row r="1284" spans="1:20" x14ac:dyDescent="0.3">
      <c r="A1284">
        <v>1464767</v>
      </c>
      <c r="B1284" t="s">
        <v>5574</v>
      </c>
      <c r="D1284" t="s">
        <v>2432</v>
      </c>
      <c r="E1284" t="s">
        <v>2433</v>
      </c>
      <c r="F1284">
        <v>2016</v>
      </c>
      <c r="G1284" t="s">
        <v>922</v>
      </c>
      <c r="H1284" t="s">
        <v>5575</v>
      </c>
      <c r="I1284" t="s">
        <v>5576</v>
      </c>
      <c r="J1284" t="s">
        <v>2437</v>
      </c>
      <c r="K1284" t="s">
        <v>25</v>
      </c>
      <c r="L1284" t="b">
        <v>1</v>
      </c>
      <c r="M1284" t="s">
        <v>5577</v>
      </c>
      <c r="N1284" t="str">
        <f>"551.46/30151"</f>
        <v>551.46/30151</v>
      </c>
      <c r="P1284" t="b">
        <v>0</v>
      </c>
      <c r="R1284" t="str">
        <f>"9783737602204"</f>
        <v>9783737602204</v>
      </c>
      <c r="S1284" t="str">
        <f>"9783737602211"</f>
        <v>9783737602211</v>
      </c>
      <c r="T1284">
        <v>971891350</v>
      </c>
    </row>
    <row r="1285" spans="1:20" x14ac:dyDescent="0.3">
      <c r="A1285">
        <v>1464764</v>
      </c>
      <c r="B1285" t="s">
        <v>5578</v>
      </c>
      <c r="D1285" t="s">
        <v>2432</v>
      </c>
      <c r="E1285" t="s">
        <v>2433</v>
      </c>
      <c r="F1285">
        <v>2016</v>
      </c>
      <c r="G1285" t="s">
        <v>2781</v>
      </c>
      <c r="H1285" t="s">
        <v>5579</v>
      </c>
      <c r="I1285" t="s">
        <v>5580</v>
      </c>
      <c r="J1285" t="s">
        <v>2437</v>
      </c>
      <c r="K1285" t="s">
        <v>25</v>
      </c>
      <c r="L1285" t="b">
        <v>1</v>
      </c>
      <c r="M1285" t="s">
        <v>5581</v>
      </c>
      <c r="N1285" t="str">
        <f>"671.52"</f>
        <v>671.52</v>
      </c>
      <c r="O1285" t="s">
        <v>5582</v>
      </c>
      <c r="P1285" t="b">
        <v>0</v>
      </c>
      <c r="R1285" t="str">
        <f>"9783737602549"</f>
        <v>9783737602549</v>
      </c>
      <c r="S1285" t="str">
        <f>"9783737602556"</f>
        <v>9783737602556</v>
      </c>
      <c r="T1285">
        <v>972092322</v>
      </c>
    </row>
    <row r="1286" spans="1:20" x14ac:dyDescent="0.3">
      <c r="A1286">
        <v>1464521</v>
      </c>
      <c r="B1286" t="s">
        <v>5583</v>
      </c>
      <c r="D1286" t="s">
        <v>2450</v>
      </c>
      <c r="E1286" t="s">
        <v>2451</v>
      </c>
      <c r="F1286">
        <v>2017</v>
      </c>
      <c r="G1286" t="s">
        <v>301</v>
      </c>
      <c r="H1286" t="s">
        <v>5584</v>
      </c>
      <c r="J1286" t="s">
        <v>2437</v>
      </c>
      <c r="K1286" t="s">
        <v>25</v>
      </c>
      <c r="L1286" t="b">
        <v>1</v>
      </c>
      <c r="M1286" t="s">
        <v>5585</v>
      </c>
      <c r="N1286" t="str">
        <f>"305.4095509045"</f>
        <v>305.4095509045</v>
      </c>
      <c r="P1286" t="b">
        <v>0</v>
      </c>
      <c r="R1286" t="str">
        <f>"9783959482240"</f>
        <v>9783959482240</v>
      </c>
      <c r="S1286" t="str">
        <f>"9783869459868"</f>
        <v>9783869459868</v>
      </c>
      <c r="T1286">
        <v>972092321</v>
      </c>
    </row>
    <row r="1287" spans="1:20" x14ac:dyDescent="0.3">
      <c r="A1287">
        <v>1464519</v>
      </c>
      <c r="B1287" t="s">
        <v>5586</v>
      </c>
      <c r="C1287" t="s">
        <v>5587</v>
      </c>
      <c r="D1287" t="s">
        <v>2450</v>
      </c>
      <c r="E1287" t="s">
        <v>2451</v>
      </c>
      <c r="F1287">
        <v>2017</v>
      </c>
      <c r="G1287" t="s">
        <v>2903</v>
      </c>
      <c r="H1287" t="s">
        <v>5588</v>
      </c>
      <c r="I1287" t="s">
        <v>5589</v>
      </c>
      <c r="J1287" t="s">
        <v>24</v>
      </c>
      <c r="K1287" t="s">
        <v>25</v>
      </c>
      <c r="L1287" t="b">
        <v>1</v>
      </c>
      <c r="M1287" t="s">
        <v>2606</v>
      </c>
      <c r="N1287" t="str">
        <f>"362.10943"</f>
        <v>362.10943</v>
      </c>
      <c r="P1287" t="b">
        <v>0</v>
      </c>
      <c r="R1287" t="str">
        <f>"9783959482189"</f>
        <v>9783959482189</v>
      </c>
      <c r="S1287" t="str">
        <f>"9783869459882"</f>
        <v>9783869459882</v>
      </c>
      <c r="T1287">
        <v>972092319</v>
      </c>
    </row>
    <row r="1288" spans="1:20" x14ac:dyDescent="0.3">
      <c r="A1288">
        <v>1464516</v>
      </c>
      <c r="B1288" t="s">
        <v>5590</v>
      </c>
      <c r="D1288" t="s">
        <v>2450</v>
      </c>
      <c r="E1288" t="s">
        <v>2451</v>
      </c>
      <c r="F1288">
        <v>2017</v>
      </c>
      <c r="G1288" t="s">
        <v>287</v>
      </c>
      <c r="H1288" t="s">
        <v>5591</v>
      </c>
      <c r="I1288" t="s">
        <v>5592</v>
      </c>
      <c r="J1288" t="s">
        <v>2437</v>
      </c>
      <c r="K1288" t="s">
        <v>25</v>
      </c>
      <c r="L1288" t="b">
        <v>1</v>
      </c>
      <c r="M1288" t="s">
        <v>5593</v>
      </c>
      <c r="N1288" t="str">
        <f>"230"</f>
        <v>230</v>
      </c>
      <c r="P1288" t="b">
        <v>0</v>
      </c>
      <c r="R1288" t="str">
        <f>"9783959481984"</f>
        <v>9783959481984</v>
      </c>
      <c r="S1288" t="str">
        <f>"9783869459912"</f>
        <v>9783869459912</v>
      </c>
      <c r="T1288">
        <v>971891338</v>
      </c>
    </row>
    <row r="1289" spans="1:20" x14ac:dyDescent="0.3">
      <c r="A1289">
        <v>1463100</v>
      </c>
      <c r="B1289" t="s">
        <v>5594</v>
      </c>
      <c r="D1289" t="s">
        <v>2547</v>
      </c>
      <c r="E1289" t="s">
        <v>2548</v>
      </c>
      <c r="F1289">
        <v>2017</v>
      </c>
      <c r="G1289" t="s">
        <v>1468</v>
      </c>
      <c r="H1289" t="s">
        <v>5595</v>
      </c>
      <c r="I1289" t="s">
        <v>5596</v>
      </c>
      <c r="J1289" t="s">
        <v>596</v>
      </c>
      <c r="K1289" t="s">
        <v>25</v>
      </c>
      <c r="L1289" t="b">
        <v>1</v>
      </c>
      <c r="M1289" t="s">
        <v>5597</v>
      </c>
      <c r="N1289" t="str">
        <f>"344.51046"</f>
        <v>344.51046</v>
      </c>
      <c r="O1289" t="s">
        <v>5594</v>
      </c>
      <c r="P1289" t="b">
        <v>0</v>
      </c>
      <c r="Q1289" t="b">
        <v>0</v>
      </c>
      <c r="S1289" t="str">
        <f>"9788892160101"</f>
        <v>9788892160101</v>
      </c>
      <c r="T1289">
        <v>972504327</v>
      </c>
    </row>
    <row r="1290" spans="1:20" x14ac:dyDescent="0.3">
      <c r="A1290">
        <v>1463097</v>
      </c>
      <c r="B1290" t="s">
        <v>5598</v>
      </c>
      <c r="C1290" t="s">
        <v>5599</v>
      </c>
      <c r="D1290" t="s">
        <v>2547</v>
      </c>
      <c r="E1290" t="s">
        <v>2548</v>
      </c>
      <c r="F1290">
        <v>2016</v>
      </c>
      <c r="G1290" t="s">
        <v>5224</v>
      </c>
      <c r="H1290" t="s">
        <v>4497</v>
      </c>
      <c r="I1290" t="s">
        <v>5600</v>
      </c>
      <c r="J1290" t="s">
        <v>596</v>
      </c>
      <c r="K1290" t="s">
        <v>269</v>
      </c>
      <c r="L1290" t="b">
        <v>1</v>
      </c>
      <c r="M1290" t="s">
        <v>5601</v>
      </c>
      <c r="N1290" t="str">
        <f>"342.45"</f>
        <v>342.45</v>
      </c>
      <c r="P1290" t="b">
        <v>0</v>
      </c>
      <c r="Q1290" t="b">
        <v>0</v>
      </c>
      <c r="S1290" t="str">
        <f>"9788892163379"</f>
        <v>9788892163379</v>
      </c>
      <c r="T1290">
        <v>972290650</v>
      </c>
    </row>
    <row r="1291" spans="1:20" x14ac:dyDescent="0.3">
      <c r="A1291">
        <v>1463096</v>
      </c>
      <c r="B1291" t="s">
        <v>5602</v>
      </c>
      <c r="C1291" t="s">
        <v>5603</v>
      </c>
      <c r="D1291" t="s">
        <v>2547</v>
      </c>
      <c r="E1291" t="s">
        <v>2548</v>
      </c>
      <c r="F1291">
        <v>2016</v>
      </c>
      <c r="G1291" t="s">
        <v>2434</v>
      </c>
      <c r="H1291" t="s">
        <v>5604</v>
      </c>
      <c r="I1291" t="s">
        <v>5605</v>
      </c>
      <c r="J1291" t="s">
        <v>596</v>
      </c>
      <c r="K1291" t="s">
        <v>25</v>
      </c>
      <c r="L1291" t="b">
        <v>1</v>
      </c>
      <c r="M1291" t="s">
        <v>5606</v>
      </c>
      <c r="N1291" t="str">
        <f>"340.943"</f>
        <v>340.943</v>
      </c>
      <c r="P1291" t="b">
        <v>0</v>
      </c>
      <c r="Q1291" t="b">
        <v>0</v>
      </c>
      <c r="S1291" t="str">
        <f>"9788892163058"</f>
        <v>9788892163058</v>
      </c>
      <c r="T1291">
        <v>972154804</v>
      </c>
    </row>
    <row r="1292" spans="1:20" x14ac:dyDescent="0.3">
      <c r="A1292">
        <v>1463090</v>
      </c>
      <c r="B1292" t="s">
        <v>5607</v>
      </c>
      <c r="C1292" t="s">
        <v>5608</v>
      </c>
      <c r="D1292" t="s">
        <v>2547</v>
      </c>
      <c r="E1292" t="s">
        <v>2548</v>
      </c>
      <c r="F1292">
        <v>2017</v>
      </c>
      <c r="G1292" t="s">
        <v>1620</v>
      </c>
      <c r="H1292" t="s">
        <v>5609</v>
      </c>
      <c r="I1292" t="s">
        <v>5610</v>
      </c>
      <c r="J1292" t="s">
        <v>596</v>
      </c>
      <c r="K1292" t="s">
        <v>25</v>
      </c>
      <c r="L1292" t="b">
        <v>1</v>
      </c>
      <c r="M1292" t="s">
        <v>5611</v>
      </c>
      <c r="N1292" t="str">
        <f>"345"</f>
        <v>345</v>
      </c>
      <c r="O1292" t="s">
        <v>5612</v>
      </c>
      <c r="P1292" t="b">
        <v>0</v>
      </c>
      <c r="Q1292" t="b">
        <v>0</v>
      </c>
      <c r="S1292" t="str">
        <f>"9788892164277"</f>
        <v>9788892164277</v>
      </c>
      <c r="T1292">
        <v>972505406</v>
      </c>
    </row>
    <row r="1293" spans="1:20" x14ac:dyDescent="0.3">
      <c r="A1293">
        <v>1463083</v>
      </c>
      <c r="B1293" t="s">
        <v>5613</v>
      </c>
      <c r="D1293" t="s">
        <v>2547</v>
      </c>
      <c r="E1293" t="s">
        <v>2548</v>
      </c>
      <c r="F1293">
        <v>2017</v>
      </c>
      <c r="G1293" t="s">
        <v>1468</v>
      </c>
      <c r="H1293" t="s">
        <v>5614</v>
      </c>
      <c r="I1293" t="s">
        <v>5615</v>
      </c>
      <c r="J1293" t="s">
        <v>596</v>
      </c>
      <c r="K1293" t="s">
        <v>25</v>
      </c>
      <c r="L1293" t="b">
        <v>1</v>
      </c>
      <c r="M1293" t="s">
        <v>5616</v>
      </c>
      <c r="N1293" t="str">
        <f>"344.45"</f>
        <v>344.45</v>
      </c>
      <c r="P1293" t="b">
        <v>0</v>
      </c>
      <c r="Q1293" t="b">
        <v>0</v>
      </c>
      <c r="S1293" t="str">
        <f>"9788892162495"</f>
        <v>9788892162495</v>
      </c>
      <c r="T1293">
        <v>971921640</v>
      </c>
    </row>
    <row r="1294" spans="1:20" x14ac:dyDescent="0.3">
      <c r="A1294">
        <v>1462080</v>
      </c>
      <c r="B1294" t="s">
        <v>5617</v>
      </c>
      <c r="C1294" t="s">
        <v>5618</v>
      </c>
      <c r="D1294" t="s">
        <v>4620</v>
      </c>
      <c r="E1294" t="s">
        <v>5619</v>
      </c>
      <c r="F1294">
        <v>2016</v>
      </c>
      <c r="G1294" t="s">
        <v>5620</v>
      </c>
      <c r="H1294" t="s">
        <v>5621</v>
      </c>
      <c r="I1294" t="s">
        <v>5622</v>
      </c>
      <c r="J1294" t="s">
        <v>854</v>
      </c>
      <c r="K1294" t="s">
        <v>25</v>
      </c>
      <c r="L1294" t="b">
        <v>1</v>
      </c>
      <c r="M1294" t="s">
        <v>5623</v>
      </c>
      <c r="N1294" t="str">
        <f>"372.43"</f>
        <v>372.43</v>
      </c>
      <c r="P1294" t="b">
        <v>0</v>
      </c>
      <c r="Q1294" t="b">
        <v>0</v>
      </c>
      <c r="R1294" t="str">
        <f>"9788072907847"</f>
        <v>9788072907847</v>
      </c>
      <c r="S1294" t="str">
        <f>"9788072909087"</f>
        <v>9788072909087</v>
      </c>
      <c r="T1294">
        <v>971921435</v>
      </c>
    </row>
    <row r="1295" spans="1:20" x14ac:dyDescent="0.3">
      <c r="A1295">
        <v>1461392</v>
      </c>
      <c r="B1295" t="s">
        <v>5624</v>
      </c>
      <c r="D1295" t="s">
        <v>4620</v>
      </c>
      <c r="E1295" t="s">
        <v>5619</v>
      </c>
      <c r="F1295">
        <v>2016</v>
      </c>
      <c r="G1295" t="s">
        <v>5620</v>
      </c>
      <c r="H1295" t="s">
        <v>5625</v>
      </c>
      <c r="I1295" t="s">
        <v>5626</v>
      </c>
      <c r="J1295" t="s">
        <v>854</v>
      </c>
      <c r="K1295" t="s">
        <v>25</v>
      </c>
      <c r="L1295" t="b">
        <v>1</v>
      </c>
      <c r="M1295" t="s">
        <v>5627</v>
      </c>
      <c r="N1295" t="str">
        <f>"372.7/044"</f>
        <v>372.7/044</v>
      </c>
      <c r="P1295" t="b">
        <v>0</v>
      </c>
      <c r="Q1295" t="b">
        <v>0</v>
      </c>
      <c r="R1295" t="str">
        <f>"9788072907762"</f>
        <v>9788072907762</v>
      </c>
      <c r="S1295" t="str">
        <f>"9788072909117"</f>
        <v>9788072909117</v>
      </c>
      <c r="T1295">
        <v>971935806</v>
      </c>
    </row>
    <row r="1296" spans="1:20" x14ac:dyDescent="0.3">
      <c r="A1296">
        <v>1461391</v>
      </c>
      <c r="B1296" t="s">
        <v>5628</v>
      </c>
      <c r="C1296" t="s">
        <v>5629</v>
      </c>
      <c r="D1296" t="s">
        <v>4620</v>
      </c>
      <c r="E1296" t="s">
        <v>5619</v>
      </c>
      <c r="F1296">
        <v>2016</v>
      </c>
      <c r="G1296" t="s">
        <v>3165</v>
      </c>
      <c r="H1296" t="s">
        <v>5630</v>
      </c>
      <c r="I1296" t="s">
        <v>5631</v>
      </c>
      <c r="J1296" t="s">
        <v>854</v>
      </c>
      <c r="K1296" t="s">
        <v>25</v>
      </c>
      <c r="L1296" t="b">
        <v>1</v>
      </c>
      <c r="M1296" t="s">
        <v>5632</v>
      </c>
      <c r="N1296" t="str">
        <f>"370.9"</f>
        <v>370.9</v>
      </c>
      <c r="P1296" t="b">
        <v>0</v>
      </c>
      <c r="Q1296" t="b">
        <v>0</v>
      </c>
      <c r="R1296" t="str">
        <f>"9788072908608"</f>
        <v>9788072908608</v>
      </c>
      <c r="S1296" t="str">
        <f>"9788072909100"</f>
        <v>9788072909100</v>
      </c>
      <c r="T1296">
        <v>971936247</v>
      </c>
    </row>
    <row r="1297" spans="1:20" x14ac:dyDescent="0.3">
      <c r="A1297">
        <v>1461389</v>
      </c>
      <c r="B1297" t="s">
        <v>5633</v>
      </c>
      <c r="C1297" t="s">
        <v>5634</v>
      </c>
      <c r="D1297" t="s">
        <v>4620</v>
      </c>
      <c r="E1297" t="s">
        <v>5619</v>
      </c>
      <c r="F1297">
        <v>2016</v>
      </c>
      <c r="G1297" t="s">
        <v>5620</v>
      </c>
      <c r="H1297" t="s">
        <v>5635</v>
      </c>
      <c r="I1297" t="s">
        <v>5636</v>
      </c>
      <c r="J1297" t="s">
        <v>854</v>
      </c>
      <c r="K1297" t="s">
        <v>25</v>
      </c>
      <c r="L1297" t="b">
        <v>1</v>
      </c>
      <c r="M1297" t="s">
        <v>5637</v>
      </c>
      <c r="N1297" t="str">
        <f>"372.21"</f>
        <v>372.21</v>
      </c>
      <c r="P1297" t="b">
        <v>0</v>
      </c>
      <c r="Q1297" t="b">
        <v>0</v>
      </c>
      <c r="R1297" t="str">
        <f>"9788072908615"</f>
        <v>9788072908615</v>
      </c>
      <c r="S1297" t="str">
        <f>"9788072909094"</f>
        <v>9788072909094</v>
      </c>
      <c r="T1297">
        <v>971967686</v>
      </c>
    </row>
    <row r="1298" spans="1:20" x14ac:dyDescent="0.3">
      <c r="A1298">
        <v>1461356</v>
      </c>
      <c r="B1298" t="s">
        <v>5638</v>
      </c>
      <c r="D1298" t="s">
        <v>2442</v>
      </c>
      <c r="E1298" t="s">
        <v>2443</v>
      </c>
      <c r="F1298">
        <v>2017</v>
      </c>
      <c r="G1298" t="s">
        <v>3082</v>
      </c>
      <c r="H1298" t="s">
        <v>5639</v>
      </c>
      <c r="I1298" t="s">
        <v>5640</v>
      </c>
      <c r="J1298" t="s">
        <v>2437</v>
      </c>
      <c r="K1298" t="s">
        <v>25</v>
      </c>
      <c r="L1298" t="b">
        <v>1</v>
      </c>
      <c r="M1298" t="s">
        <v>5641</v>
      </c>
      <c r="N1298" t="str">
        <f>"636.0891"</f>
        <v>636.0891</v>
      </c>
      <c r="P1298" t="b">
        <v>0</v>
      </c>
      <c r="R1298" t="str">
        <f>"9783899936933"</f>
        <v>9783899936933</v>
      </c>
      <c r="S1298" t="str">
        <f>"9783842688674"</f>
        <v>9783842688674</v>
      </c>
      <c r="T1298">
        <v>972293539</v>
      </c>
    </row>
    <row r="1299" spans="1:20" x14ac:dyDescent="0.3">
      <c r="A1299">
        <v>1459753</v>
      </c>
      <c r="B1299" t="s">
        <v>5642</v>
      </c>
      <c r="C1299" t="s">
        <v>5643</v>
      </c>
      <c r="D1299" t="s">
        <v>2819</v>
      </c>
      <c r="E1299" t="s">
        <v>2820</v>
      </c>
      <c r="F1299">
        <v>2016</v>
      </c>
      <c r="G1299" t="s">
        <v>859</v>
      </c>
      <c r="H1299" t="s">
        <v>5644</v>
      </c>
      <c r="I1299" t="s">
        <v>5645</v>
      </c>
      <c r="J1299" t="s">
        <v>596</v>
      </c>
      <c r="K1299" t="s">
        <v>25</v>
      </c>
      <c r="L1299" t="b">
        <v>1</v>
      </c>
      <c r="M1299" t="s">
        <v>5646</v>
      </c>
      <c r="N1299" t="str">
        <f>"398.0945"</f>
        <v>398.0945</v>
      </c>
      <c r="O1299" t="s">
        <v>5642</v>
      </c>
      <c r="P1299" t="b">
        <v>0</v>
      </c>
      <c r="Q1299" t="b">
        <v>0</v>
      </c>
      <c r="R1299" t="str">
        <f>"9788874705191"</f>
        <v>9788874705191</v>
      </c>
      <c r="S1299" t="str">
        <f>"9788874705436"</f>
        <v>9788874705436</v>
      </c>
      <c r="T1299">
        <v>970693612</v>
      </c>
    </row>
    <row r="1300" spans="1:20" x14ac:dyDescent="0.3">
      <c r="A1300">
        <v>1459752</v>
      </c>
      <c r="B1300" t="s">
        <v>5647</v>
      </c>
      <c r="C1300" t="s">
        <v>5648</v>
      </c>
      <c r="D1300" t="s">
        <v>2819</v>
      </c>
      <c r="E1300" t="s">
        <v>2820</v>
      </c>
      <c r="F1300">
        <v>2016</v>
      </c>
      <c r="G1300" t="s">
        <v>1107</v>
      </c>
      <c r="H1300" t="s">
        <v>5649</v>
      </c>
      <c r="J1300" t="s">
        <v>596</v>
      </c>
      <c r="K1300" t="s">
        <v>25</v>
      </c>
      <c r="L1300" t="b">
        <v>1</v>
      </c>
      <c r="M1300" t="s">
        <v>5650</v>
      </c>
      <c r="N1300" t="str">
        <f>"851"</f>
        <v>851</v>
      </c>
      <c r="O1300" t="s">
        <v>5651</v>
      </c>
      <c r="P1300" t="b">
        <v>0</v>
      </c>
      <c r="Q1300" t="b">
        <v>0</v>
      </c>
      <c r="R1300" t="str">
        <f>"9788874705351"</f>
        <v>9788874705351</v>
      </c>
      <c r="S1300" t="str">
        <f>"9788874705467"</f>
        <v>9788874705467</v>
      </c>
      <c r="T1300">
        <v>970693923</v>
      </c>
    </row>
    <row r="1301" spans="1:20" x14ac:dyDescent="0.3">
      <c r="A1301">
        <v>1459751</v>
      </c>
      <c r="B1301" t="s">
        <v>5652</v>
      </c>
      <c r="C1301" t="s">
        <v>5653</v>
      </c>
      <c r="D1301" t="s">
        <v>2819</v>
      </c>
      <c r="E1301" t="s">
        <v>2820</v>
      </c>
      <c r="F1301">
        <v>2016</v>
      </c>
      <c r="G1301" t="s">
        <v>5654</v>
      </c>
      <c r="H1301" t="s">
        <v>5655</v>
      </c>
      <c r="J1301" t="s">
        <v>596</v>
      </c>
      <c r="K1301" t="s">
        <v>25</v>
      </c>
      <c r="L1301" t="b">
        <v>1</v>
      </c>
      <c r="M1301" t="s">
        <v>5656</v>
      </c>
      <c r="N1301" t="str">
        <f>"945/.751"</f>
        <v>945/.751</v>
      </c>
      <c r="O1301" t="s">
        <v>5652</v>
      </c>
      <c r="P1301" t="b">
        <v>0</v>
      </c>
      <c r="Q1301" t="b">
        <v>0</v>
      </c>
      <c r="R1301" t="str">
        <f>"9788874705504"</f>
        <v>9788874705504</v>
      </c>
      <c r="S1301" t="str">
        <f>"9788874705511"</f>
        <v>9788874705511</v>
      </c>
      <c r="T1301">
        <v>970693611</v>
      </c>
    </row>
    <row r="1302" spans="1:20" x14ac:dyDescent="0.3">
      <c r="A1302">
        <v>1459750</v>
      </c>
      <c r="B1302" t="s">
        <v>5657</v>
      </c>
      <c r="C1302" t="s">
        <v>5658</v>
      </c>
      <c r="D1302" t="s">
        <v>2819</v>
      </c>
      <c r="E1302" t="s">
        <v>2820</v>
      </c>
      <c r="F1302">
        <v>2016</v>
      </c>
      <c r="G1302" t="s">
        <v>899</v>
      </c>
      <c r="H1302" t="s">
        <v>5659</v>
      </c>
      <c r="I1302" t="s">
        <v>5660</v>
      </c>
      <c r="J1302" t="s">
        <v>596</v>
      </c>
      <c r="K1302" t="s">
        <v>25</v>
      </c>
      <c r="L1302" t="b">
        <v>1</v>
      </c>
      <c r="M1302" t="s">
        <v>5661</v>
      </c>
      <c r="N1302" t="str">
        <f>"792"</f>
        <v>792</v>
      </c>
      <c r="O1302" t="s">
        <v>2831</v>
      </c>
      <c r="P1302" t="b">
        <v>0</v>
      </c>
      <c r="Q1302" t="b">
        <v>0</v>
      </c>
      <c r="R1302" t="str">
        <f>"9788874705337"</f>
        <v>9788874705337</v>
      </c>
      <c r="S1302" t="str">
        <f>"9788874705412"</f>
        <v>9788874705412</v>
      </c>
      <c r="T1302">
        <v>970693849</v>
      </c>
    </row>
    <row r="1303" spans="1:20" x14ac:dyDescent="0.3">
      <c r="A1303">
        <v>1459734</v>
      </c>
      <c r="B1303" t="s">
        <v>5662</v>
      </c>
      <c r="C1303" t="s">
        <v>5663</v>
      </c>
      <c r="D1303" t="s">
        <v>2819</v>
      </c>
      <c r="E1303" t="s">
        <v>2820</v>
      </c>
      <c r="F1303">
        <v>2016</v>
      </c>
      <c r="G1303" t="s">
        <v>5664</v>
      </c>
      <c r="H1303" t="s">
        <v>5665</v>
      </c>
      <c r="J1303" t="s">
        <v>596</v>
      </c>
      <c r="K1303" t="s">
        <v>25</v>
      </c>
      <c r="L1303" t="b">
        <v>1</v>
      </c>
      <c r="M1303" t="s">
        <v>5666</v>
      </c>
      <c r="N1303" t="str">
        <f>"822.33"</f>
        <v>822.33</v>
      </c>
      <c r="O1303" t="s">
        <v>5651</v>
      </c>
      <c r="P1303" t="b">
        <v>1</v>
      </c>
      <c r="Q1303" t="b">
        <v>0</v>
      </c>
      <c r="R1303" t="str">
        <f>"9788874705474"</f>
        <v>9788874705474</v>
      </c>
      <c r="S1303" t="str">
        <f>"9788874705542"</f>
        <v>9788874705542</v>
      </c>
      <c r="T1303">
        <v>970693628</v>
      </c>
    </row>
    <row r="1304" spans="1:20" x14ac:dyDescent="0.3">
      <c r="A1304">
        <v>1458992</v>
      </c>
      <c r="B1304" t="s">
        <v>5667</v>
      </c>
      <c r="C1304" t="s">
        <v>5668</v>
      </c>
      <c r="D1304" t="s">
        <v>45</v>
      </c>
      <c r="E1304" t="s">
        <v>45</v>
      </c>
      <c r="F1304">
        <v>2016</v>
      </c>
      <c r="G1304" t="s">
        <v>1920</v>
      </c>
      <c r="H1304" t="s">
        <v>5669</v>
      </c>
      <c r="I1304" t="s">
        <v>5670</v>
      </c>
      <c r="J1304" t="s">
        <v>2437</v>
      </c>
      <c r="K1304" t="s">
        <v>269</v>
      </c>
      <c r="L1304" t="b">
        <v>1</v>
      </c>
      <c r="M1304" t="s">
        <v>5671</v>
      </c>
      <c r="N1304" t="str">
        <f>"193"</f>
        <v>193</v>
      </c>
      <c r="O1304" t="s">
        <v>5672</v>
      </c>
      <c r="P1304" t="b">
        <v>0</v>
      </c>
      <c r="R1304" t="str">
        <f>"9783110475135"</f>
        <v>9783110475135</v>
      </c>
      <c r="S1304" t="str">
        <f>"9783110475210"</f>
        <v>9783110475210</v>
      </c>
      <c r="T1304">
        <v>979637917</v>
      </c>
    </row>
    <row r="1305" spans="1:20" x14ac:dyDescent="0.3">
      <c r="A1305">
        <v>1458629</v>
      </c>
      <c r="B1305" t="s">
        <v>5673</v>
      </c>
      <c r="D1305" t="s">
        <v>3029</v>
      </c>
      <c r="E1305" t="s">
        <v>3030</v>
      </c>
      <c r="F1305">
        <v>2017</v>
      </c>
      <c r="G1305" t="s">
        <v>3044</v>
      </c>
      <c r="H1305" t="s">
        <v>5674</v>
      </c>
      <c r="I1305" t="s">
        <v>5675</v>
      </c>
      <c r="J1305" t="s">
        <v>24</v>
      </c>
      <c r="K1305" t="s">
        <v>25</v>
      </c>
      <c r="L1305" t="b">
        <v>1</v>
      </c>
      <c r="M1305" t="s">
        <v>5676</v>
      </c>
      <c r="N1305" t="str">
        <f>"302.2301/41"</f>
        <v>302.2301/41</v>
      </c>
      <c r="O1305" t="s">
        <v>5131</v>
      </c>
      <c r="P1305" t="b">
        <v>0</v>
      </c>
      <c r="R1305" t="str">
        <f>"9789027210456"</f>
        <v>9789027210456</v>
      </c>
      <c r="S1305" t="str">
        <f>"9789027266156"</f>
        <v>9789027266156</v>
      </c>
      <c r="T1305">
        <v>964661278</v>
      </c>
    </row>
    <row r="1306" spans="1:20" x14ac:dyDescent="0.3">
      <c r="A1306">
        <v>1458257</v>
      </c>
      <c r="B1306" t="s">
        <v>5677</v>
      </c>
      <c r="C1306" t="s">
        <v>5678</v>
      </c>
      <c r="D1306" t="s">
        <v>2442</v>
      </c>
      <c r="E1306" t="s">
        <v>2443</v>
      </c>
      <c r="F1306">
        <v>2017</v>
      </c>
      <c r="G1306" t="s">
        <v>2666</v>
      </c>
      <c r="H1306" t="s">
        <v>5679</v>
      </c>
      <c r="I1306" t="s">
        <v>5680</v>
      </c>
      <c r="J1306" t="s">
        <v>2437</v>
      </c>
      <c r="K1306" t="s">
        <v>269</v>
      </c>
      <c r="L1306" t="b">
        <v>1</v>
      </c>
      <c r="M1306" t="s">
        <v>5681</v>
      </c>
      <c r="N1306" t="str">
        <f>"616.07/5"</f>
        <v>616.07/5</v>
      </c>
      <c r="O1306" t="s">
        <v>5682</v>
      </c>
      <c r="P1306" t="b">
        <v>0</v>
      </c>
      <c r="R1306" t="str">
        <f>"9783899938357"</f>
        <v>9783899938357</v>
      </c>
      <c r="S1306" t="str">
        <f>"9783842688001"</f>
        <v>9783842688001</v>
      </c>
      <c r="T1306">
        <v>1012399915</v>
      </c>
    </row>
    <row r="1307" spans="1:20" x14ac:dyDescent="0.3">
      <c r="A1307">
        <v>1458059</v>
      </c>
      <c r="B1307" t="s">
        <v>5683</v>
      </c>
      <c r="C1307" t="s">
        <v>5684</v>
      </c>
      <c r="D1307" t="s">
        <v>3850</v>
      </c>
      <c r="E1307" t="s">
        <v>3851</v>
      </c>
      <c r="F1307">
        <v>2017</v>
      </c>
      <c r="G1307" t="s">
        <v>5685</v>
      </c>
      <c r="H1307" t="s">
        <v>5686</v>
      </c>
      <c r="I1307" t="s">
        <v>5687</v>
      </c>
      <c r="J1307" t="s">
        <v>24</v>
      </c>
      <c r="K1307" t="s">
        <v>269</v>
      </c>
      <c r="L1307" t="b">
        <v>1</v>
      </c>
      <c r="M1307" t="s">
        <v>5688</v>
      </c>
      <c r="N1307" t="str">
        <f>"305.868/72950747"</f>
        <v>305.868/72950747</v>
      </c>
      <c r="O1307" t="s">
        <v>5689</v>
      </c>
      <c r="P1307" t="b">
        <v>0</v>
      </c>
      <c r="R1307" t="str">
        <f>"9781438463551"</f>
        <v>9781438463551</v>
      </c>
      <c r="S1307" t="str">
        <f>"9781438463568"</f>
        <v>9781438463568</v>
      </c>
      <c r="T1307">
        <v>965154259</v>
      </c>
    </row>
    <row r="1308" spans="1:20" x14ac:dyDescent="0.3">
      <c r="A1308">
        <v>1457986</v>
      </c>
      <c r="B1308" t="s">
        <v>5690</v>
      </c>
      <c r="D1308" t="s">
        <v>3248</v>
      </c>
      <c r="E1308" t="s">
        <v>3248</v>
      </c>
      <c r="F1308">
        <v>2017</v>
      </c>
      <c r="G1308" t="s">
        <v>5691</v>
      </c>
      <c r="H1308" t="s">
        <v>5692</v>
      </c>
      <c r="I1308" t="s">
        <v>5693</v>
      </c>
      <c r="J1308" t="s">
        <v>24</v>
      </c>
      <c r="K1308" t="s">
        <v>25</v>
      </c>
      <c r="L1308" t="b">
        <v>1</v>
      </c>
      <c r="M1308" t="s">
        <v>5694</v>
      </c>
      <c r="N1308" t="str">
        <f>"262/.12"</f>
        <v>262/.12</v>
      </c>
      <c r="O1308" t="s">
        <v>5695</v>
      </c>
      <c r="P1308" t="b">
        <v>0</v>
      </c>
      <c r="Q1308" t="b">
        <v>0</v>
      </c>
      <c r="R1308" t="str">
        <f>"9780813229102"</f>
        <v>9780813229102</v>
      </c>
      <c r="S1308" t="str">
        <f>"9780813229119"</f>
        <v>9780813229119</v>
      </c>
      <c r="T1308">
        <v>970393480</v>
      </c>
    </row>
    <row r="1309" spans="1:20" x14ac:dyDescent="0.3">
      <c r="A1309">
        <v>1457906</v>
      </c>
      <c r="B1309" t="s">
        <v>5696</v>
      </c>
      <c r="C1309" t="s">
        <v>5697</v>
      </c>
      <c r="D1309" t="s">
        <v>2860</v>
      </c>
      <c r="E1309" t="s">
        <v>2860</v>
      </c>
      <c r="F1309">
        <v>2017</v>
      </c>
      <c r="G1309" t="s">
        <v>3972</v>
      </c>
      <c r="H1309" t="s">
        <v>5698</v>
      </c>
      <c r="I1309" t="s">
        <v>5699</v>
      </c>
      <c r="J1309" t="s">
        <v>24</v>
      </c>
      <c r="K1309" t="s">
        <v>25</v>
      </c>
      <c r="L1309" t="b">
        <v>1</v>
      </c>
      <c r="M1309" t="s">
        <v>5700</v>
      </c>
      <c r="N1309" t="str">
        <f>"582.13"</f>
        <v>582.13</v>
      </c>
      <c r="O1309" t="s">
        <v>5701</v>
      </c>
      <c r="P1309" t="b">
        <v>0</v>
      </c>
      <c r="Q1309" t="b">
        <v>0</v>
      </c>
      <c r="R1309" t="str">
        <f>"9781536106718"</f>
        <v>9781536106718</v>
      </c>
      <c r="S1309" t="str">
        <f>"9781536106855"</f>
        <v>9781536106855</v>
      </c>
      <c r="T1309">
        <v>964624758</v>
      </c>
    </row>
    <row r="1310" spans="1:20" x14ac:dyDescent="0.3">
      <c r="A1310">
        <v>1457905</v>
      </c>
      <c r="B1310" t="s">
        <v>5702</v>
      </c>
      <c r="C1310" t="s">
        <v>5703</v>
      </c>
      <c r="D1310" t="s">
        <v>2860</v>
      </c>
      <c r="E1310" t="s">
        <v>2860</v>
      </c>
      <c r="F1310">
        <v>2017</v>
      </c>
      <c r="G1310" t="s">
        <v>5704</v>
      </c>
      <c r="H1310" t="s">
        <v>5705</v>
      </c>
      <c r="I1310" t="s">
        <v>5706</v>
      </c>
      <c r="J1310" t="s">
        <v>24</v>
      </c>
      <c r="K1310" t="s">
        <v>25</v>
      </c>
      <c r="L1310" t="b">
        <v>1</v>
      </c>
      <c r="M1310" t="s">
        <v>5707</v>
      </c>
      <c r="N1310" t="str">
        <f>"577.4"</f>
        <v>577.4</v>
      </c>
      <c r="O1310" t="s">
        <v>5708</v>
      </c>
      <c r="P1310" t="b">
        <v>0</v>
      </c>
      <c r="Q1310" t="b">
        <v>0</v>
      </c>
      <c r="R1310" t="str">
        <f>"9781536106039"</f>
        <v>9781536106039</v>
      </c>
      <c r="S1310" t="str">
        <f>"9781536106121"</f>
        <v>9781536106121</v>
      </c>
      <c r="T1310">
        <v>970393494</v>
      </c>
    </row>
    <row r="1311" spans="1:20" x14ac:dyDescent="0.3">
      <c r="A1311">
        <v>1457864</v>
      </c>
      <c r="B1311" t="s">
        <v>5709</v>
      </c>
      <c r="D1311" t="s">
        <v>2648</v>
      </c>
      <c r="E1311" t="s">
        <v>2649</v>
      </c>
      <c r="F1311">
        <v>2017</v>
      </c>
      <c r="G1311" t="s">
        <v>4063</v>
      </c>
      <c r="H1311" t="s">
        <v>5710</v>
      </c>
      <c r="I1311" t="s">
        <v>5711</v>
      </c>
      <c r="J1311" t="s">
        <v>2437</v>
      </c>
      <c r="K1311" t="s">
        <v>25</v>
      </c>
      <c r="L1311" t="b">
        <v>1</v>
      </c>
      <c r="M1311" t="s">
        <v>5712</v>
      </c>
      <c r="N1311" t="str">
        <f>"770"</f>
        <v>770</v>
      </c>
      <c r="O1311" t="s">
        <v>5713</v>
      </c>
      <c r="P1311" t="b">
        <v>0</v>
      </c>
      <c r="R1311" t="str">
        <f>"9783958454583"</f>
        <v>9783958454583</v>
      </c>
      <c r="S1311" t="str">
        <f>"9783958454590"</f>
        <v>9783958454590</v>
      </c>
      <c r="T1311">
        <v>970393506</v>
      </c>
    </row>
    <row r="1312" spans="1:20" x14ac:dyDescent="0.3">
      <c r="A1312">
        <v>1457619</v>
      </c>
      <c r="B1312" t="s">
        <v>5714</v>
      </c>
      <c r="C1312" t="s">
        <v>5715</v>
      </c>
      <c r="D1312" t="s">
        <v>2885</v>
      </c>
      <c r="E1312" t="s">
        <v>2885</v>
      </c>
      <c r="F1312">
        <v>2017</v>
      </c>
      <c r="G1312" t="s">
        <v>1005</v>
      </c>
      <c r="H1312" t="s">
        <v>5716</v>
      </c>
      <c r="I1312" t="s">
        <v>5717</v>
      </c>
      <c r="J1312" t="s">
        <v>24</v>
      </c>
      <c r="K1312" t="s">
        <v>25</v>
      </c>
      <c r="L1312" t="b">
        <v>1</v>
      </c>
      <c r="M1312" t="s">
        <v>5718</v>
      </c>
      <c r="N1312" t="str">
        <f>"304.2"</f>
        <v>304.2</v>
      </c>
      <c r="P1312" t="b">
        <v>0</v>
      </c>
      <c r="Q1312" t="b">
        <v>0</v>
      </c>
      <c r="R1312" t="str">
        <f>"9781551640181"</f>
        <v>9781551640181</v>
      </c>
      <c r="S1312" t="str">
        <f>"9781551644714"</f>
        <v>9781551644714</v>
      </c>
      <c r="T1312">
        <v>1046676444</v>
      </c>
    </row>
    <row r="1313" spans="1:20" x14ac:dyDescent="0.3">
      <c r="A1313">
        <v>1457604</v>
      </c>
      <c r="B1313" t="s">
        <v>5719</v>
      </c>
      <c r="C1313" t="s">
        <v>5720</v>
      </c>
      <c r="D1313" t="s">
        <v>5721</v>
      </c>
      <c r="E1313" t="s">
        <v>5722</v>
      </c>
      <c r="F1313">
        <v>2016</v>
      </c>
      <c r="G1313" t="s">
        <v>2343</v>
      </c>
      <c r="H1313" t="s">
        <v>5723</v>
      </c>
      <c r="I1313" t="s">
        <v>5724</v>
      </c>
      <c r="J1313" t="s">
        <v>3665</v>
      </c>
      <c r="K1313" t="s">
        <v>25</v>
      </c>
      <c r="L1313" t="b">
        <v>1</v>
      </c>
      <c r="M1313" t="s">
        <v>5725</v>
      </c>
      <c r="N1313" t="str">
        <f>"401/.93"</f>
        <v>401/.93</v>
      </c>
      <c r="O1313" t="s">
        <v>5726</v>
      </c>
      <c r="P1313" t="b">
        <v>0</v>
      </c>
      <c r="Q1313" t="b">
        <v>0</v>
      </c>
      <c r="R1313" t="str">
        <f>"9788073086626"</f>
        <v>9788073086626</v>
      </c>
      <c r="S1313" t="str">
        <f>"9788073086633"</f>
        <v>9788073086633</v>
      </c>
      <c r="T1313">
        <v>1006403894</v>
      </c>
    </row>
    <row r="1314" spans="1:20" x14ac:dyDescent="0.3">
      <c r="A1314">
        <v>1457603</v>
      </c>
      <c r="B1314" t="s">
        <v>5727</v>
      </c>
      <c r="D1314" t="s">
        <v>5721</v>
      </c>
      <c r="E1314" t="s">
        <v>5722</v>
      </c>
      <c r="F1314">
        <v>2016</v>
      </c>
      <c r="G1314" t="s">
        <v>3121</v>
      </c>
      <c r="H1314" t="s">
        <v>5728</v>
      </c>
      <c r="I1314" t="s">
        <v>5729</v>
      </c>
      <c r="J1314" t="s">
        <v>3665</v>
      </c>
      <c r="K1314" t="s">
        <v>25</v>
      </c>
      <c r="L1314" t="b">
        <v>1</v>
      </c>
      <c r="M1314" t="s">
        <v>5730</v>
      </c>
      <c r="N1314" t="str">
        <f>"415"</f>
        <v>415</v>
      </c>
      <c r="O1314" t="s">
        <v>5731</v>
      </c>
      <c r="P1314" t="b">
        <v>0</v>
      </c>
      <c r="Q1314" t="b">
        <v>0</v>
      </c>
      <c r="R1314" t="str">
        <f>"9788073086602"</f>
        <v>9788073086602</v>
      </c>
      <c r="S1314" t="str">
        <f>"9788073086619"</f>
        <v>9788073086619</v>
      </c>
      <c r="T1314">
        <v>992565306</v>
      </c>
    </row>
    <row r="1315" spans="1:20" x14ac:dyDescent="0.3">
      <c r="A1315">
        <v>1457602</v>
      </c>
      <c r="B1315" t="s">
        <v>5732</v>
      </c>
      <c r="D1315" t="s">
        <v>5721</v>
      </c>
      <c r="E1315" t="s">
        <v>5722</v>
      </c>
      <c r="F1315">
        <v>2016</v>
      </c>
      <c r="G1315" t="s">
        <v>5733</v>
      </c>
      <c r="H1315" t="s">
        <v>5734</v>
      </c>
      <c r="I1315" t="s">
        <v>5735</v>
      </c>
      <c r="J1315" t="s">
        <v>854</v>
      </c>
      <c r="K1315" t="s">
        <v>25</v>
      </c>
      <c r="L1315" t="b">
        <v>1</v>
      </c>
      <c r="M1315" t="s">
        <v>5736</v>
      </c>
      <c r="N1315" t="str">
        <f>"491/.998"</f>
        <v>491/.998</v>
      </c>
      <c r="O1315" t="s">
        <v>5737</v>
      </c>
      <c r="P1315" t="b">
        <v>0</v>
      </c>
      <c r="Q1315" t="b">
        <v>0</v>
      </c>
      <c r="R1315" t="str">
        <f>"9788073086442"</f>
        <v>9788073086442</v>
      </c>
      <c r="S1315" t="str">
        <f>"9788073086459"</f>
        <v>9788073086459</v>
      </c>
      <c r="T1315">
        <v>992571520</v>
      </c>
    </row>
    <row r="1316" spans="1:20" x14ac:dyDescent="0.3">
      <c r="A1316">
        <v>1457601</v>
      </c>
      <c r="B1316" t="s">
        <v>5738</v>
      </c>
      <c r="D1316" t="s">
        <v>5721</v>
      </c>
      <c r="E1316" t="s">
        <v>5722</v>
      </c>
      <c r="F1316">
        <v>2016</v>
      </c>
      <c r="G1316" t="s">
        <v>2010</v>
      </c>
      <c r="H1316" t="s">
        <v>5739</v>
      </c>
      <c r="J1316" t="s">
        <v>854</v>
      </c>
      <c r="K1316" t="s">
        <v>25</v>
      </c>
      <c r="L1316" t="b">
        <v>1</v>
      </c>
      <c r="M1316" t="s">
        <v>5740</v>
      </c>
      <c r="N1316" t="str">
        <f>"949.742"</f>
        <v>949.742</v>
      </c>
      <c r="O1316" t="s">
        <v>5741</v>
      </c>
      <c r="P1316" t="b">
        <v>0</v>
      </c>
      <c r="Q1316" t="b">
        <v>0</v>
      </c>
      <c r="R1316" t="str">
        <f>"9788073086480"</f>
        <v>9788073086480</v>
      </c>
      <c r="S1316" t="str">
        <f>"9788073086497"</f>
        <v>9788073086497</v>
      </c>
      <c r="T1316">
        <v>992578510</v>
      </c>
    </row>
    <row r="1317" spans="1:20" x14ac:dyDescent="0.3">
      <c r="A1317">
        <v>1457283</v>
      </c>
      <c r="B1317" t="s">
        <v>5742</v>
      </c>
      <c r="C1317" t="s">
        <v>5743</v>
      </c>
      <c r="D1317" t="s">
        <v>2450</v>
      </c>
      <c r="E1317" t="s">
        <v>2451</v>
      </c>
      <c r="F1317">
        <v>2017</v>
      </c>
      <c r="G1317" t="s">
        <v>287</v>
      </c>
      <c r="H1317" t="s">
        <v>5744</v>
      </c>
      <c r="I1317" t="s">
        <v>5745</v>
      </c>
      <c r="J1317" t="s">
        <v>2437</v>
      </c>
      <c r="K1317" t="s">
        <v>25</v>
      </c>
      <c r="L1317" t="b">
        <v>1</v>
      </c>
      <c r="M1317" t="s">
        <v>5746</v>
      </c>
      <c r="N1317" t="str">
        <f>"501"</f>
        <v>501</v>
      </c>
      <c r="O1317" t="s">
        <v>5747</v>
      </c>
      <c r="P1317" t="b">
        <v>0</v>
      </c>
      <c r="R1317" t="str">
        <f>"9783959481625"</f>
        <v>9783959481625</v>
      </c>
      <c r="S1317" t="str">
        <f>"9783869459837"</f>
        <v>9783869459837</v>
      </c>
      <c r="T1317">
        <v>970393502</v>
      </c>
    </row>
    <row r="1318" spans="1:20" x14ac:dyDescent="0.3">
      <c r="A1318">
        <v>1457282</v>
      </c>
      <c r="B1318" t="s">
        <v>5742</v>
      </c>
      <c r="C1318" t="s">
        <v>5748</v>
      </c>
      <c r="D1318" t="s">
        <v>2450</v>
      </c>
      <c r="E1318" t="s">
        <v>2451</v>
      </c>
      <c r="F1318">
        <v>2017</v>
      </c>
      <c r="G1318" t="s">
        <v>287</v>
      </c>
      <c r="H1318" t="s">
        <v>5749</v>
      </c>
      <c r="I1318" t="s">
        <v>5750</v>
      </c>
      <c r="J1318" t="s">
        <v>24</v>
      </c>
      <c r="K1318" t="s">
        <v>25</v>
      </c>
      <c r="L1318" t="b">
        <v>1</v>
      </c>
      <c r="M1318" t="s">
        <v>5751</v>
      </c>
      <c r="N1318" t="str">
        <f>"100"</f>
        <v>100</v>
      </c>
      <c r="O1318" t="s">
        <v>5752</v>
      </c>
      <c r="P1318" t="b">
        <v>0</v>
      </c>
      <c r="R1318" t="str">
        <f>"9783959481618"</f>
        <v>9783959481618</v>
      </c>
      <c r="S1318" t="str">
        <f>"9783869459844"</f>
        <v>9783869459844</v>
      </c>
      <c r="T1318">
        <v>970393501</v>
      </c>
    </row>
    <row r="1319" spans="1:20" x14ac:dyDescent="0.3">
      <c r="A1319">
        <v>1457264</v>
      </c>
      <c r="B1319" t="s">
        <v>5753</v>
      </c>
      <c r="D1319" t="s">
        <v>3029</v>
      </c>
      <c r="E1319" t="s">
        <v>3030</v>
      </c>
      <c r="F1319">
        <v>2017</v>
      </c>
      <c r="G1319" t="s">
        <v>3037</v>
      </c>
      <c r="H1319" t="s">
        <v>3188</v>
      </c>
      <c r="I1319" t="s">
        <v>5754</v>
      </c>
      <c r="J1319" t="s">
        <v>24</v>
      </c>
      <c r="K1319" t="s">
        <v>25</v>
      </c>
      <c r="L1319" t="b">
        <v>1</v>
      </c>
      <c r="M1319" t="s">
        <v>5755</v>
      </c>
      <c r="N1319" t="str">
        <f>"418/.02072"</f>
        <v>418/.02072</v>
      </c>
      <c r="O1319" t="s">
        <v>3041</v>
      </c>
      <c r="P1319" t="b">
        <v>0</v>
      </c>
      <c r="R1319" t="str">
        <f>"9789027258731"</f>
        <v>9789027258731</v>
      </c>
      <c r="S1319" t="str">
        <f>"9789027266613"</f>
        <v>9789027266613</v>
      </c>
      <c r="T1319">
        <v>958963194</v>
      </c>
    </row>
    <row r="1320" spans="1:20" x14ac:dyDescent="0.3">
      <c r="A1320">
        <v>1457262</v>
      </c>
      <c r="B1320" t="s">
        <v>5756</v>
      </c>
      <c r="C1320" t="s">
        <v>5757</v>
      </c>
      <c r="D1320" t="s">
        <v>3029</v>
      </c>
      <c r="E1320" t="s">
        <v>3030</v>
      </c>
      <c r="F1320">
        <v>2017</v>
      </c>
      <c r="G1320" t="s">
        <v>1664</v>
      </c>
      <c r="H1320" t="s">
        <v>5758</v>
      </c>
      <c r="I1320" t="s">
        <v>5759</v>
      </c>
      <c r="J1320" t="s">
        <v>24</v>
      </c>
      <c r="K1320" t="s">
        <v>25</v>
      </c>
      <c r="L1320" t="b">
        <v>1</v>
      </c>
      <c r="M1320" t="s">
        <v>5760</v>
      </c>
      <c r="N1320" t="str">
        <f>"400"</f>
        <v>400</v>
      </c>
      <c r="O1320" t="s">
        <v>4296</v>
      </c>
      <c r="P1320" t="b">
        <v>0</v>
      </c>
      <c r="R1320" t="str">
        <f>"9789027201324"</f>
        <v>9789027201324</v>
      </c>
      <c r="S1320" t="str">
        <f>"9789027266163"</f>
        <v>9789027266163</v>
      </c>
      <c r="T1320">
        <v>969973842</v>
      </c>
    </row>
    <row r="1321" spans="1:20" x14ac:dyDescent="0.3">
      <c r="A1321">
        <v>1457260</v>
      </c>
      <c r="B1321" t="s">
        <v>5761</v>
      </c>
      <c r="D1321" t="s">
        <v>3029</v>
      </c>
      <c r="E1321" t="s">
        <v>3030</v>
      </c>
      <c r="F1321">
        <v>2017</v>
      </c>
      <c r="G1321" t="s">
        <v>3044</v>
      </c>
      <c r="H1321" t="s">
        <v>5762</v>
      </c>
      <c r="I1321" t="s">
        <v>5763</v>
      </c>
      <c r="J1321" t="s">
        <v>24</v>
      </c>
      <c r="K1321" t="s">
        <v>25</v>
      </c>
      <c r="L1321" t="b">
        <v>1</v>
      </c>
      <c r="M1321" t="s">
        <v>5764</v>
      </c>
      <c r="N1321" t="str">
        <f>"498/.39"</f>
        <v>498/.39</v>
      </c>
      <c r="O1321" t="s">
        <v>5765</v>
      </c>
      <c r="P1321" t="b">
        <v>0</v>
      </c>
      <c r="R1321" t="str">
        <f>"9789027259462"</f>
        <v>9789027259462</v>
      </c>
      <c r="S1321" t="str">
        <f>"9789027266118"</f>
        <v>9789027266118</v>
      </c>
      <c r="T1321">
        <v>971365733</v>
      </c>
    </row>
    <row r="1322" spans="1:20" x14ac:dyDescent="0.3">
      <c r="A1322">
        <v>1457259</v>
      </c>
      <c r="B1322" t="s">
        <v>5766</v>
      </c>
      <c r="C1322" t="s">
        <v>5767</v>
      </c>
      <c r="D1322" t="s">
        <v>3029</v>
      </c>
      <c r="E1322" t="s">
        <v>3030</v>
      </c>
      <c r="F1322">
        <v>2017</v>
      </c>
      <c r="G1322" t="s">
        <v>3044</v>
      </c>
      <c r="H1322" t="s">
        <v>5768</v>
      </c>
      <c r="I1322" t="s">
        <v>5769</v>
      </c>
      <c r="J1322" t="s">
        <v>24</v>
      </c>
      <c r="K1322" t="s">
        <v>25</v>
      </c>
      <c r="L1322" t="b">
        <v>1</v>
      </c>
      <c r="M1322" t="s">
        <v>5770</v>
      </c>
      <c r="N1322" t="str">
        <f>"495.65"</f>
        <v>495.65</v>
      </c>
      <c r="O1322" t="s">
        <v>5771</v>
      </c>
      <c r="P1322" t="b">
        <v>0</v>
      </c>
      <c r="R1322" t="str">
        <f>"9789027256775"</f>
        <v>9789027256775</v>
      </c>
      <c r="S1322" t="str">
        <f>"9789027266071"</f>
        <v>9789027266071</v>
      </c>
      <c r="T1322">
        <v>970631448</v>
      </c>
    </row>
    <row r="1323" spans="1:20" x14ac:dyDescent="0.3">
      <c r="A1323">
        <v>1457239</v>
      </c>
      <c r="B1323" t="s">
        <v>5772</v>
      </c>
      <c r="C1323" t="s">
        <v>5773</v>
      </c>
      <c r="D1323" t="s">
        <v>4112</v>
      </c>
      <c r="E1323" t="s">
        <v>4113</v>
      </c>
      <c r="F1323">
        <v>2017</v>
      </c>
      <c r="G1323" t="s">
        <v>5774</v>
      </c>
      <c r="H1323" t="s">
        <v>5775</v>
      </c>
      <c r="I1323" t="s">
        <v>5776</v>
      </c>
      <c r="J1323" t="s">
        <v>24</v>
      </c>
      <c r="K1323" t="s">
        <v>269</v>
      </c>
      <c r="L1323" t="b">
        <v>1</v>
      </c>
      <c r="M1323" t="s">
        <v>5777</v>
      </c>
      <c r="N1323" t="str">
        <f>"305.800973"</f>
        <v>305.800973</v>
      </c>
      <c r="P1323" t="b">
        <v>0</v>
      </c>
      <c r="R1323" t="str">
        <f>"9780826148841"</f>
        <v>9780826148841</v>
      </c>
      <c r="S1323" t="str">
        <f>"9780826148858"</f>
        <v>9780826148858</v>
      </c>
      <c r="T1323">
        <v>970041738</v>
      </c>
    </row>
    <row r="1324" spans="1:20" x14ac:dyDescent="0.3">
      <c r="A1324">
        <v>1457024</v>
      </c>
      <c r="B1324" t="s">
        <v>5778</v>
      </c>
      <c r="C1324" t="s">
        <v>5779</v>
      </c>
      <c r="D1324" t="s">
        <v>3505</v>
      </c>
      <c r="E1324" t="s">
        <v>3506</v>
      </c>
      <c r="F1324">
        <v>2017</v>
      </c>
      <c r="G1324" t="s">
        <v>1892</v>
      </c>
      <c r="H1324" t="s">
        <v>5780</v>
      </c>
      <c r="I1324" t="s">
        <v>5781</v>
      </c>
      <c r="J1324" t="s">
        <v>24</v>
      </c>
      <c r="K1324" t="s">
        <v>269</v>
      </c>
      <c r="L1324" t="b">
        <v>0</v>
      </c>
      <c r="M1324" t="s">
        <v>5782</v>
      </c>
      <c r="N1324" t="str">
        <f>"297.7/2"</f>
        <v>297.7/2</v>
      </c>
      <c r="P1324" t="b">
        <v>0</v>
      </c>
      <c r="R1324" t="str">
        <f>"9780773548169"</f>
        <v>9780773548169</v>
      </c>
      <c r="S1324" t="str">
        <f>"9780773548350"</f>
        <v>9780773548350</v>
      </c>
      <c r="T1324">
        <v>958271462</v>
      </c>
    </row>
    <row r="1325" spans="1:20" x14ac:dyDescent="0.3">
      <c r="A1325">
        <v>1456009</v>
      </c>
      <c r="B1325" t="s">
        <v>5783</v>
      </c>
      <c r="D1325" t="s">
        <v>2442</v>
      </c>
      <c r="E1325" t="s">
        <v>2443</v>
      </c>
      <c r="F1325">
        <v>2017</v>
      </c>
      <c r="G1325" t="s">
        <v>2444</v>
      </c>
      <c r="H1325" t="s">
        <v>5784</v>
      </c>
      <c r="I1325" t="s">
        <v>5785</v>
      </c>
      <c r="J1325" t="s">
        <v>2437</v>
      </c>
      <c r="K1325" t="s">
        <v>25</v>
      </c>
      <c r="L1325" t="b">
        <v>1</v>
      </c>
      <c r="M1325" t="s">
        <v>5786</v>
      </c>
      <c r="N1325" t="str">
        <f>"610.73"</f>
        <v>610.73</v>
      </c>
      <c r="P1325" t="b">
        <v>0</v>
      </c>
      <c r="R1325" t="str">
        <f>"9783899937725"</f>
        <v>9783899937725</v>
      </c>
      <c r="S1325" t="str">
        <f>"9783842683891"</f>
        <v>9783842683891</v>
      </c>
      <c r="T1325">
        <v>989817369</v>
      </c>
    </row>
    <row r="1326" spans="1:20" x14ac:dyDescent="0.3">
      <c r="A1326">
        <v>1455966</v>
      </c>
      <c r="B1326" t="s">
        <v>5787</v>
      </c>
      <c r="C1326" t="s">
        <v>5788</v>
      </c>
      <c r="D1326" t="s">
        <v>2885</v>
      </c>
      <c r="E1326" t="s">
        <v>2885</v>
      </c>
      <c r="F1326">
        <v>2017</v>
      </c>
      <c r="G1326" t="s">
        <v>4923</v>
      </c>
      <c r="H1326" t="s">
        <v>5789</v>
      </c>
      <c r="I1326" t="s">
        <v>5790</v>
      </c>
      <c r="J1326" t="s">
        <v>24</v>
      </c>
      <c r="K1326" t="s">
        <v>25</v>
      </c>
      <c r="L1326" t="b">
        <v>1</v>
      </c>
      <c r="M1326" t="s">
        <v>5791</v>
      </c>
      <c r="N1326" t="str">
        <f>"323/.042"</f>
        <v>323/.042</v>
      </c>
      <c r="P1326" t="b">
        <v>0</v>
      </c>
      <c r="Q1326" t="b">
        <v>0</v>
      </c>
      <c r="R1326" t="str">
        <f>"9781551642246"</f>
        <v>9781551642246</v>
      </c>
      <c r="S1326" t="str">
        <f>"9781551645681"</f>
        <v>9781551645681</v>
      </c>
      <c r="T1326">
        <v>1046676441</v>
      </c>
    </row>
    <row r="1327" spans="1:20" x14ac:dyDescent="0.3">
      <c r="A1327">
        <v>1455674</v>
      </c>
      <c r="B1327" t="s">
        <v>5792</v>
      </c>
      <c r="C1327" t="s">
        <v>5793</v>
      </c>
      <c r="D1327" t="s">
        <v>5794</v>
      </c>
      <c r="E1327" t="s">
        <v>5794</v>
      </c>
      <c r="F1327">
        <v>2017</v>
      </c>
      <c r="G1327" t="s">
        <v>305</v>
      </c>
      <c r="H1327" t="s">
        <v>5795</v>
      </c>
      <c r="I1327" t="s">
        <v>5796</v>
      </c>
      <c r="J1327" t="s">
        <v>24</v>
      </c>
      <c r="K1327" t="s">
        <v>269</v>
      </c>
      <c r="L1327" t="b">
        <v>1</v>
      </c>
      <c r="M1327" t="s">
        <v>5797</v>
      </c>
      <c r="N1327" t="str">
        <f>"378.1/2"</f>
        <v>378.1/2</v>
      </c>
      <c r="P1327" t="b">
        <v>0</v>
      </c>
      <c r="R1327" t="str">
        <f>"9780813585932"</f>
        <v>9780813585932</v>
      </c>
      <c r="S1327" t="str">
        <f>"9780813585949"</f>
        <v>9780813585949</v>
      </c>
      <c r="T1327">
        <v>982958336</v>
      </c>
    </row>
    <row r="1328" spans="1:20" x14ac:dyDescent="0.3">
      <c r="A1328">
        <v>1455616</v>
      </c>
      <c r="B1328" t="s">
        <v>5798</v>
      </c>
      <c r="C1328" t="s">
        <v>5799</v>
      </c>
      <c r="D1328" t="s">
        <v>3088</v>
      </c>
      <c r="E1328" t="s">
        <v>3088</v>
      </c>
      <c r="F1328">
        <v>2017</v>
      </c>
      <c r="G1328" t="s">
        <v>5800</v>
      </c>
      <c r="H1328" t="s">
        <v>5801</v>
      </c>
      <c r="I1328" t="s">
        <v>5802</v>
      </c>
      <c r="J1328" t="s">
        <v>24</v>
      </c>
      <c r="K1328" t="s">
        <v>25</v>
      </c>
      <c r="L1328" t="b">
        <v>1</v>
      </c>
      <c r="M1328" t="s">
        <v>5803</v>
      </c>
      <c r="N1328" t="str">
        <f>"001.4/2"</f>
        <v>001.4/2</v>
      </c>
      <c r="O1328" t="s">
        <v>4940</v>
      </c>
      <c r="P1328" t="b">
        <v>0</v>
      </c>
      <c r="Q1328" t="b">
        <v>0</v>
      </c>
      <c r="R1328" t="str">
        <f>"9781681236889"</f>
        <v>9781681236889</v>
      </c>
      <c r="S1328" t="str">
        <f>"9781681236902"</f>
        <v>9781681236902</v>
      </c>
      <c r="T1328">
        <v>968151949</v>
      </c>
    </row>
    <row r="1329" spans="1:20" x14ac:dyDescent="0.3">
      <c r="A1329">
        <v>1455613</v>
      </c>
      <c r="B1329" t="s">
        <v>5804</v>
      </c>
      <c r="C1329" t="s">
        <v>5805</v>
      </c>
      <c r="D1329" t="s">
        <v>3088</v>
      </c>
      <c r="E1329" t="s">
        <v>3088</v>
      </c>
      <c r="F1329">
        <v>2017</v>
      </c>
      <c r="G1329" t="s">
        <v>5806</v>
      </c>
      <c r="H1329" t="s">
        <v>5807</v>
      </c>
      <c r="I1329" t="s">
        <v>5808</v>
      </c>
      <c r="J1329" t="s">
        <v>24</v>
      </c>
      <c r="K1329" t="s">
        <v>25</v>
      </c>
      <c r="L1329" t="b">
        <v>1</v>
      </c>
      <c r="M1329" t="s">
        <v>5809</v>
      </c>
      <c r="N1329" t="str">
        <f>"152.8/3"</f>
        <v>152.8/3</v>
      </c>
      <c r="P1329" t="b">
        <v>0</v>
      </c>
      <c r="Q1329" t="b">
        <v>0</v>
      </c>
      <c r="R1329" t="str">
        <f>"9781681237701"</f>
        <v>9781681237701</v>
      </c>
      <c r="S1329" t="str">
        <f>"9781681237725"</f>
        <v>9781681237725</v>
      </c>
      <c r="T1329">
        <v>982379732</v>
      </c>
    </row>
    <row r="1330" spans="1:20" x14ac:dyDescent="0.3">
      <c r="A1330">
        <v>1455612</v>
      </c>
      <c r="B1330" t="s">
        <v>5810</v>
      </c>
      <c r="C1330" t="s">
        <v>5811</v>
      </c>
      <c r="D1330" t="s">
        <v>3088</v>
      </c>
      <c r="E1330" t="s">
        <v>3088</v>
      </c>
      <c r="F1330">
        <v>2017</v>
      </c>
      <c r="G1330" t="s">
        <v>4632</v>
      </c>
      <c r="H1330" t="s">
        <v>5812</v>
      </c>
      <c r="I1330" t="s">
        <v>5813</v>
      </c>
      <c r="J1330" t="s">
        <v>24</v>
      </c>
      <c r="K1330" t="s">
        <v>25</v>
      </c>
      <c r="L1330" t="b">
        <v>1</v>
      </c>
      <c r="M1330" t="s">
        <v>5814</v>
      </c>
      <c r="N1330" t="str">
        <f>"327.1/72"</f>
        <v>327.1/72</v>
      </c>
      <c r="O1330" t="s">
        <v>5815</v>
      </c>
      <c r="P1330" t="b">
        <v>0</v>
      </c>
      <c r="Q1330" t="b">
        <v>0</v>
      </c>
      <c r="R1330" t="str">
        <f>"9781681237497"</f>
        <v>9781681237497</v>
      </c>
      <c r="S1330" t="str">
        <f>"9781681237510"</f>
        <v>9781681237510</v>
      </c>
      <c r="T1330">
        <v>976424065</v>
      </c>
    </row>
    <row r="1331" spans="1:20" x14ac:dyDescent="0.3">
      <c r="A1331">
        <v>1455507</v>
      </c>
      <c r="B1331" t="s">
        <v>5816</v>
      </c>
      <c r="C1331" t="s">
        <v>5817</v>
      </c>
      <c r="D1331" t="s">
        <v>1482</v>
      </c>
      <c r="E1331" t="s">
        <v>1482</v>
      </c>
      <c r="F1331">
        <v>2017</v>
      </c>
      <c r="G1331" t="s">
        <v>5818</v>
      </c>
      <c r="H1331" t="s">
        <v>5819</v>
      </c>
      <c r="I1331" t="s">
        <v>5820</v>
      </c>
      <c r="J1331" t="s">
        <v>24</v>
      </c>
      <c r="K1331" t="s">
        <v>25</v>
      </c>
      <c r="L1331" t="b">
        <v>1</v>
      </c>
      <c r="M1331" t="s">
        <v>5821</v>
      </c>
      <c r="N1331" t="str">
        <f>"791.4302/33092"</f>
        <v>791.4302/33092</v>
      </c>
      <c r="P1331" t="b">
        <v>0</v>
      </c>
      <c r="R1331" t="str">
        <f>"9780719095863"</f>
        <v>9780719095863</v>
      </c>
      <c r="S1331" t="str">
        <f>"9781526107718"</f>
        <v>9781526107718</v>
      </c>
      <c r="T1331">
        <v>969740130</v>
      </c>
    </row>
    <row r="1332" spans="1:20" x14ac:dyDescent="0.3">
      <c r="A1332">
        <v>1455506</v>
      </c>
      <c r="B1332" t="s">
        <v>5822</v>
      </c>
      <c r="C1332" t="s">
        <v>5823</v>
      </c>
      <c r="D1332" t="s">
        <v>1482</v>
      </c>
      <c r="E1332" t="s">
        <v>1482</v>
      </c>
      <c r="F1332">
        <v>2017</v>
      </c>
      <c r="G1332" t="s">
        <v>60</v>
      </c>
      <c r="H1332" t="s">
        <v>5824</v>
      </c>
      <c r="I1332" t="s">
        <v>5825</v>
      </c>
      <c r="J1332" t="s">
        <v>24</v>
      </c>
      <c r="K1332" t="s">
        <v>25</v>
      </c>
      <c r="L1332" t="b">
        <v>1</v>
      </c>
      <c r="M1332" t="s">
        <v>5826</v>
      </c>
      <c r="N1332" t="str">
        <f>"796.06/844"</f>
        <v>796.06/844</v>
      </c>
      <c r="O1332" t="s">
        <v>5827</v>
      </c>
      <c r="P1332" t="b">
        <v>0</v>
      </c>
      <c r="R1332" t="str">
        <f>"9781526106247"</f>
        <v>9781526106247</v>
      </c>
      <c r="S1332" t="str">
        <f>"9781526106254"</f>
        <v>9781526106254</v>
      </c>
      <c r="T1332">
        <v>969740190</v>
      </c>
    </row>
    <row r="1333" spans="1:20" x14ac:dyDescent="0.3">
      <c r="A1333">
        <v>1455502</v>
      </c>
      <c r="B1333" t="s">
        <v>5828</v>
      </c>
      <c r="D1333" t="s">
        <v>1482</v>
      </c>
      <c r="E1333" t="s">
        <v>1482</v>
      </c>
      <c r="F1333">
        <v>2017</v>
      </c>
      <c r="G1333" t="s">
        <v>5829</v>
      </c>
      <c r="H1333" t="s">
        <v>5830</v>
      </c>
      <c r="I1333" t="s">
        <v>5831</v>
      </c>
      <c r="J1333" t="s">
        <v>24</v>
      </c>
      <c r="K1333" t="s">
        <v>25</v>
      </c>
      <c r="L1333" t="b">
        <v>1</v>
      </c>
      <c r="M1333" t="s">
        <v>5832</v>
      </c>
      <c r="N1333" t="str">
        <f>"305.800944"</f>
        <v>305.800944</v>
      </c>
      <c r="P1333" t="b">
        <v>0</v>
      </c>
      <c r="R1333" t="str">
        <f>"9780719079559"</f>
        <v>9780719079559</v>
      </c>
      <c r="S1333" t="str">
        <f>"9781526107503"</f>
        <v>9781526107503</v>
      </c>
      <c r="T1333">
        <v>969740196</v>
      </c>
    </row>
    <row r="1334" spans="1:20" x14ac:dyDescent="0.3">
      <c r="A1334">
        <v>1455495</v>
      </c>
      <c r="B1334" t="s">
        <v>5833</v>
      </c>
      <c r="D1334" t="s">
        <v>1482</v>
      </c>
      <c r="E1334" t="s">
        <v>1482</v>
      </c>
      <c r="F1334">
        <v>2017</v>
      </c>
      <c r="G1334" t="s">
        <v>5834</v>
      </c>
      <c r="H1334" t="s">
        <v>5835</v>
      </c>
      <c r="I1334" t="s">
        <v>5836</v>
      </c>
      <c r="J1334" t="s">
        <v>24</v>
      </c>
      <c r="K1334" t="s">
        <v>25</v>
      </c>
      <c r="L1334" t="b">
        <v>1</v>
      </c>
      <c r="M1334" t="s">
        <v>5837</v>
      </c>
      <c r="N1334" t="str">
        <f>"355.02/18"</f>
        <v>355.02/18</v>
      </c>
      <c r="O1334" t="s">
        <v>5838</v>
      </c>
      <c r="P1334" t="b">
        <v>0</v>
      </c>
      <c r="R1334" t="str">
        <f>"9781784994082"</f>
        <v>9781784994082</v>
      </c>
      <c r="S1334" t="str">
        <f>"9781784997649"</f>
        <v>9781784997649</v>
      </c>
      <c r="T1334">
        <v>969740231</v>
      </c>
    </row>
    <row r="1335" spans="1:20" x14ac:dyDescent="0.3">
      <c r="A1335">
        <v>1455166</v>
      </c>
      <c r="B1335" t="s">
        <v>5839</v>
      </c>
      <c r="D1335" t="s">
        <v>2860</v>
      </c>
      <c r="E1335" t="s">
        <v>2860</v>
      </c>
      <c r="F1335">
        <v>2017</v>
      </c>
      <c r="G1335" t="s">
        <v>5840</v>
      </c>
      <c r="H1335" t="s">
        <v>5841</v>
      </c>
      <c r="I1335" t="s">
        <v>5842</v>
      </c>
      <c r="J1335" t="s">
        <v>24</v>
      </c>
      <c r="K1335" t="s">
        <v>25</v>
      </c>
      <c r="L1335" t="b">
        <v>1</v>
      </c>
      <c r="M1335" t="s">
        <v>5843</v>
      </c>
      <c r="N1335" t="str">
        <f>"613.84"</f>
        <v>613.84</v>
      </c>
      <c r="O1335" t="s">
        <v>5701</v>
      </c>
      <c r="P1335" t="b">
        <v>0</v>
      </c>
      <c r="Q1335" t="b">
        <v>0</v>
      </c>
      <c r="R1335" t="str">
        <f>"9781536108620"</f>
        <v>9781536108620</v>
      </c>
      <c r="S1335" t="str">
        <f>"9781536108705"</f>
        <v>9781536108705</v>
      </c>
      <c r="T1335">
        <v>972289129</v>
      </c>
    </row>
    <row r="1336" spans="1:20" x14ac:dyDescent="0.3">
      <c r="A1336">
        <v>1454904</v>
      </c>
      <c r="B1336" t="s">
        <v>5844</v>
      </c>
      <c r="D1336" t="s">
        <v>423</v>
      </c>
      <c r="E1336" t="s">
        <v>2169</v>
      </c>
      <c r="F1336">
        <v>2017</v>
      </c>
      <c r="G1336" t="s">
        <v>4799</v>
      </c>
      <c r="H1336" t="s">
        <v>5845</v>
      </c>
      <c r="J1336" t="s">
        <v>24</v>
      </c>
      <c r="K1336" t="s">
        <v>269</v>
      </c>
      <c r="L1336" t="b">
        <v>1</v>
      </c>
      <c r="M1336" t="s">
        <v>5846</v>
      </c>
      <c r="N1336" t="str">
        <f>"947.084/1"</f>
        <v>947.084/1</v>
      </c>
      <c r="P1336" t="b">
        <v>0</v>
      </c>
      <c r="Q1336" t="b">
        <v>0</v>
      </c>
      <c r="R1336" t="str">
        <f>"9780745399041"</f>
        <v>9780745399041</v>
      </c>
      <c r="S1336" t="str">
        <f>"9781786800190"</f>
        <v>9781786800190</v>
      </c>
      <c r="T1336">
        <v>969918937</v>
      </c>
    </row>
    <row r="1337" spans="1:20" x14ac:dyDescent="0.3">
      <c r="A1337">
        <v>1454658</v>
      </c>
      <c r="B1337" t="s">
        <v>5847</v>
      </c>
      <c r="C1337" t="s">
        <v>5848</v>
      </c>
      <c r="D1337" t="s">
        <v>707</v>
      </c>
      <c r="E1337" t="s">
        <v>708</v>
      </c>
      <c r="F1337">
        <v>2017</v>
      </c>
      <c r="G1337" t="s">
        <v>5849</v>
      </c>
      <c r="H1337" t="s">
        <v>5850</v>
      </c>
      <c r="J1337" t="s">
        <v>24</v>
      </c>
      <c r="K1337" t="s">
        <v>269</v>
      </c>
      <c r="L1337" t="b">
        <v>1</v>
      </c>
      <c r="M1337" t="s">
        <v>5851</v>
      </c>
      <c r="N1337" t="str">
        <f>"954.03/17"</f>
        <v>954.03/17</v>
      </c>
      <c r="O1337" t="s">
        <v>5852</v>
      </c>
      <c r="P1337" t="b">
        <v>0</v>
      </c>
      <c r="R1337" t="str">
        <f>"9788132113553"</f>
        <v>9788132113553</v>
      </c>
      <c r="S1337" t="str">
        <f>"9789385985744"</f>
        <v>9789385985744</v>
      </c>
      <c r="T1337">
        <v>969433949</v>
      </c>
    </row>
    <row r="1338" spans="1:20" x14ac:dyDescent="0.3">
      <c r="A1338">
        <v>1454618</v>
      </c>
      <c r="B1338" t="s">
        <v>3875</v>
      </c>
      <c r="C1338" t="s">
        <v>5853</v>
      </c>
      <c r="D1338" t="s">
        <v>2597</v>
      </c>
      <c r="E1338" t="s">
        <v>2598</v>
      </c>
      <c r="F1338">
        <v>2017</v>
      </c>
      <c r="G1338" t="s">
        <v>5854</v>
      </c>
      <c r="H1338" t="s">
        <v>5855</v>
      </c>
      <c r="I1338" t="s">
        <v>5856</v>
      </c>
      <c r="J1338" t="s">
        <v>24</v>
      </c>
      <c r="K1338" t="s">
        <v>25</v>
      </c>
      <c r="L1338" t="b">
        <v>1</v>
      </c>
      <c r="M1338" t="s">
        <v>5857</v>
      </c>
      <c r="N1338" t="str">
        <f>"332.0410951"</f>
        <v>332.0410951</v>
      </c>
      <c r="P1338" t="b">
        <v>0</v>
      </c>
      <c r="R1338" t="str">
        <f>"9781513539942"</f>
        <v>9781513539942</v>
      </c>
      <c r="S1338" t="str">
        <f>"9781475558548"</f>
        <v>9781475558548</v>
      </c>
      <c r="T1338">
        <v>969443888</v>
      </c>
    </row>
    <row r="1339" spans="1:20" x14ac:dyDescent="0.3">
      <c r="A1339">
        <v>1453443</v>
      </c>
      <c r="B1339" t="s">
        <v>5858</v>
      </c>
      <c r="D1339" t="s">
        <v>2860</v>
      </c>
      <c r="E1339" t="s">
        <v>5859</v>
      </c>
      <c r="F1339">
        <v>2017</v>
      </c>
      <c r="G1339" t="s">
        <v>5860</v>
      </c>
      <c r="H1339" t="s">
        <v>5861</v>
      </c>
      <c r="I1339" t="s">
        <v>5862</v>
      </c>
      <c r="J1339" t="s">
        <v>24</v>
      </c>
      <c r="K1339" t="s">
        <v>25</v>
      </c>
      <c r="L1339" t="b">
        <v>1</v>
      </c>
      <c r="M1339" t="s">
        <v>5863</v>
      </c>
      <c r="N1339" t="str">
        <f>"577.27"</f>
        <v>577.27</v>
      </c>
      <c r="O1339" t="s">
        <v>5864</v>
      </c>
      <c r="P1339" t="b">
        <v>0</v>
      </c>
      <c r="Q1339" t="b">
        <v>0</v>
      </c>
      <c r="R1339" t="str">
        <f>"9781536106008"</f>
        <v>9781536106008</v>
      </c>
      <c r="S1339" t="str">
        <f>"9781536106091"</f>
        <v>9781536106091</v>
      </c>
      <c r="T1339">
        <v>968926443</v>
      </c>
    </row>
    <row r="1340" spans="1:20" x14ac:dyDescent="0.3">
      <c r="A1340">
        <v>1453428</v>
      </c>
      <c r="B1340" t="s">
        <v>5865</v>
      </c>
      <c r="C1340" t="s">
        <v>5866</v>
      </c>
      <c r="D1340" t="s">
        <v>2860</v>
      </c>
      <c r="E1340" t="s">
        <v>2860</v>
      </c>
      <c r="F1340">
        <v>2017</v>
      </c>
      <c r="G1340" t="s">
        <v>4829</v>
      </c>
      <c r="H1340" t="s">
        <v>5867</v>
      </c>
      <c r="I1340" t="s">
        <v>5868</v>
      </c>
      <c r="J1340" t="s">
        <v>24</v>
      </c>
      <c r="K1340" t="s">
        <v>25</v>
      </c>
      <c r="L1340" t="b">
        <v>1</v>
      </c>
      <c r="M1340" t="s">
        <v>5869</v>
      </c>
      <c r="N1340" t="str">
        <f>"612.8/21"</f>
        <v>612.8/21</v>
      </c>
      <c r="O1340" t="s">
        <v>5870</v>
      </c>
      <c r="P1340" t="b">
        <v>0</v>
      </c>
      <c r="Q1340" t="b">
        <v>0</v>
      </c>
      <c r="R1340" t="str">
        <f>"9781634856935"</f>
        <v>9781634856935</v>
      </c>
      <c r="S1340" t="str">
        <f>"9781634857123"</f>
        <v>9781634857123</v>
      </c>
      <c r="T1340">
        <v>968926438</v>
      </c>
    </row>
    <row r="1341" spans="1:20" x14ac:dyDescent="0.3">
      <c r="A1341">
        <v>1453426</v>
      </c>
      <c r="B1341" t="s">
        <v>5871</v>
      </c>
      <c r="D1341" t="s">
        <v>2860</v>
      </c>
      <c r="E1341" t="s">
        <v>2860</v>
      </c>
      <c r="F1341">
        <v>2017</v>
      </c>
      <c r="G1341" t="s">
        <v>3312</v>
      </c>
      <c r="H1341" t="s">
        <v>5872</v>
      </c>
      <c r="I1341" t="s">
        <v>5873</v>
      </c>
      <c r="J1341" t="s">
        <v>24</v>
      </c>
      <c r="K1341" t="s">
        <v>25</v>
      </c>
      <c r="L1341" t="b">
        <v>1</v>
      </c>
      <c r="M1341" t="s">
        <v>5874</v>
      </c>
      <c r="N1341" t="str">
        <f>"615.19"</f>
        <v>615.19</v>
      </c>
      <c r="O1341" t="s">
        <v>5871</v>
      </c>
      <c r="P1341" t="b">
        <v>0</v>
      </c>
      <c r="Q1341" t="b">
        <v>0</v>
      </c>
      <c r="R1341" t="str">
        <f>"9781536105056"</f>
        <v>9781536105056</v>
      </c>
      <c r="S1341" t="str">
        <f>"9781536105216"</f>
        <v>9781536105216</v>
      </c>
      <c r="T1341">
        <v>968926437</v>
      </c>
    </row>
    <row r="1342" spans="1:20" x14ac:dyDescent="0.3">
      <c r="A1342">
        <v>1453425</v>
      </c>
      <c r="B1342" t="s">
        <v>5871</v>
      </c>
      <c r="D1342" t="s">
        <v>2860</v>
      </c>
      <c r="E1342" t="s">
        <v>2860</v>
      </c>
      <c r="F1342">
        <v>2017</v>
      </c>
      <c r="G1342" t="s">
        <v>3312</v>
      </c>
      <c r="H1342" t="s">
        <v>5872</v>
      </c>
      <c r="I1342" t="s">
        <v>5873</v>
      </c>
      <c r="J1342" t="s">
        <v>24</v>
      </c>
      <c r="K1342" t="s">
        <v>25</v>
      </c>
      <c r="L1342" t="b">
        <v>1</v>
      </c>
      <c r="M1342" t="s">
        <v>5874</v>
      </c>
      <c r="N1342" t="str">
        <f>"615.19"</f>
        <v>615.19</v>
      </c>
      <c r="O1342" t="s">
        <v>5871</v>
      </c>
      <c r="P1342" t="b">
        <v>0</v>
      </c>
      <c r="Q1342" t="b">
        <v>0</v>
      </c>
      <c r="R1342" t="str">
        <f>"9781536105049"</f>
        <v>9781536105049</v>
      </c>
      <c r="S1342" t="str">
        <f>"9781536105209"</f>
        <v>9781536105209</v>
      </c>
      <c r="T1342">
        <v>968926436</v>
      </c>
    </row>
    <row r="1343" spans="1:20" x14ac:dyDescent="0.3">
      <c r="A1343">
        <v>1453395</v>
      </c>
      <c r="B1343" t="s">
        <v>5875</v>
      </c>
      <c r="C1343" t="s">
        <v>5876</v>
      </c>
      <c r="D1343" t="s">
        <v>3505</v>
      </c>
      <c r="E1343" t="s">
        <v>3506</v>
      </c>
      <c r="F1343">
        <v>2017</v>
      </c>
      <c r="G1343" t="s">
        <v>2425</v>
      </c>
      <c r="H1343" t="s">
        <v>5877</v>
      </c>
      <c r="J1343" t="s">
        <v>24</v>
      </c>
      <c r="K1343" t="s">
        <v>269</v>
      </c>
      <c r="L1343" t="b">
        <v>0</v>
      </c>
      <c r="M1343" t="s">
        <v>5878</v>
      </c>
      <c r="N1343" t="str">
        <f>"297.1/22721"</f>
        <v>297.1/22721</v>
      </c>
      <c r="O1343" t="s">
        <v>5879</v>
      </c>
      <c r="P1343" t="b">
        <v>0</v>
      </c>
      <c r="R1343" t="str">
        <f>"9780773548855"</f>
        <v>9780773548855</v>
      </c>
      <c r="S1343" t="str">
        <f>"9780773548879"</f>
        <v>9780773548879</v>
      </c>
      <c r="T1343">
        <v>958271829</v>
      </c>
    </row>
    <row r="1344" spans="1:20" x14ac:dyDescent="0.3">
      <c r="A1344">
        <v>1452610</v>
      </c>
      <c r="B1344" t="s">
        <v>5880</v>
      </c>
      <c r="C1344" t="s">
        <v>5881</v>
      </c>
      <c r="D1344" t="s">
        <v>1482</v>
      </c>
      <c r="E1344" t="s">
        <v>1482</v>
      </c>
      <c r="F1344">
        <v>2017</v>
      </c>
      <c r="G1344" t="s">
        <v>145</v>
      </c>
      <c r="H1344" t="s">
        <v>5882</v>
      </c>
      <c r="I1344" t="s">
        <v>5883</v>
      </c>
      <c r="J1344" t="s">
        <v>24</v>
      </c>
      <c r="K1344" t="s">
        <v>25</v>
      </c>
      <c r="L1344" t="b">
        <v>1</v>
      </c>
      <c r="M1344" t="s">
        <v>5884</v>
      </c>
      <c r="N1344" t="str">
        <f>"823/.9209"</f>
        <v>823/.9209</v>
      </c>
      <c r="P1344" t="b">
        <v>0</v>
      </c>
      <c r="R1344" t="str">
        <f>"9780719081491"</f>
        <v>9780719081491</v>
      </c>
      <c r="S1344" t="str">
        <f>"9781526107992"</f>
        <v>9781526107992</v>
      </c>
      <c r="T1344">
        <v>969414770</v>
      </c>
    </row>
    <row r="1345" spans="1:20" x14ac:dyDescent="0.3">
      <c r="A1345">
        <v>1452588</v>
      </c>
      <c r="B1345" t="s">
        <v>5885</v>
      </c>
      <c r="C1345" t="s">
        <v>5886</v>
      </c>
      <c r="D1345" t="s">
        <v>1482</v>
      </c>
      <c r="E1345" t="s">
        <v>1482</v>
      </c>
      <c r="F1345">
        <v>2017</v>
      </c>
      <c r="G1345" t="s">
        <v>611</v>
      </c>
      <c r="H1345" t="s">
        <v>5887</v>
      </c>
      <c r="J1345" t="s">
        <v>24</v>
      </c>
      <c r="K1345" t="s">
        <v>25</v>
      </c>
      <c r="L1345" t="b">
        <v>1</v>
      </c>
      <c r="M1345" t="s">
        <v>5888</v>
      </c>
      <c r="N1345" t="str">
        <f>"821/.3"</f>
        <v>821/.3</v>
      </c>
      <c r="O1345" t="s">
        <v>5263</v>
      </c>
      <c r="P1345" t="b">
        <v>0</v>
      </c>
      <c r="R1345" t="str">
        <f>"9780719088087"</f>
        <v>9780719088087</v>
      </c>
      <c r="S1345" t="str">
        <f>"9781526107855"</f>
        <v>9781526107855</v>
      </c>
      <c r="T1345">
        <v>969416673</v>
      </c>
    </row>
    <row r="1346" spans="1:20" x14ac:dyDescent="0.3">
      <c r="A1346">
        <v>1452587</v>
      </c>
      <c r="B1346" t="s">
        <v>5889</v>
      </c>
      <c r="C1346" t="s">
        <v>5890</v>
      </c>
      <c r="D1346" t="s">
        <v>1482</v>
      </c>
      <c r="E1346" t="s">
        <v>1482</v>
      </c>
      <c r="F1346">
        <v>2017</v>
      </c>
      <c r="G1346" t="s">
        <v>301</v>
      </c>
      <c r="H1346" t="s">
        <v>5891</v>
      </c>
      <c r="I1346" t="s">
        <v>5892</v>
      </c>
      <c r="J1346" t="s">
        <v>24</v>
      </c>
      <c r="K1346" t="s">
        <v>25</v>
      </c>
      <c r="L1346" t="b">
        <v>1</v>
      </c>
      <c r="M1346" t="s">
        <v>5893</v>
      </c>
      <c r="N1346" t="str">
        <f>"302.23"</f>
        <v>302.23</v>
      </c>
      <c r="P1346" t="b">
        <v>0</v>
      </c>
      <c r="R1346" t="str">
        <f>"9781526107213"</f>
        <v>9781526107213</v>
      </c>
      <c r="S1346" t="str">
        <f>"9781526108647"</f>
        <v>9781526108647</v>
      </c>
      <c r="T1346">
        <v>968905566</v>
      </c>
    </row>
    <row r="1347" spans="1:20" x14ac:dyDescent="0.3">
      <c r="A1347">
        <v>1452527</v>
      </c>
      <c r="B1347" t="s">
        <v>5894</v>
      </c>
      <c r="C1347" t="s">
        <v>5895</v>
      </c>
      <c r="D1347" t="s">
        <v>2442</v>
      </c>
      <c r="E1347" t="s">
        <v>4047</v>
      </c>
      <c r="F1347">
        <v>2017</v>
      </c>
      <c r="G1347" t="s">
        <v>2813</v>
      </c>
      <c r="H1347" t="s">
        <v>5896</v>
      </c>
      <c r="I1347" t="s">
        <v>5897</v>
      </c>
      <c r="J1347" t="s">
        <v>2437</v>
      </c>
      <c r="K1347" t="s">
        <v>269</v>
      </c>
      <c r="L1347" t="b">
        <v>1</v>
      </c>
      <c r="M1347" t="s">
        <v>5898</v>
      </c>
      <c r="N1347" t="str">
        <f>"616.4/44"</f>
        <v>616.4/44</v>
      </c>
      <c r="P1347" t="b">
        <v>0</v>
      </c>
      <c r="R1347" t="str">
        <f>"9783899938876"</f>
        <v>9783899938876</v>
      </c>
      <c r="S1347" t="str">
        <f>"9783842687578"</f>
        <v>9783842687578</v>
      </c>
      <c r="T1347">
        <v>1015372224</v>
      </c>
    </row>
    <row r="1348" spans="1:20" x14ac:dyDescent="0.3">
      <c r="A1348">
        <v>1452302</v>
      </c>
      <c r="B1348" t="s">
        <v>5899</v>
      </c>
      <c r="C1348" s="1">
        <v>42370</v>
      </c>
      <c r="D1348" t="s">
        <v>2547</v>
      </c>
      <c r="E1348" t="s">
        <v>2548</v>
      </c>
      <c r="F1348">
        <v>2016</v>
      </c>
      <c r="G1348" t="s">
        <v>346</v>
      </c>
      <c r="H1348" t="s">
        <v>5900</v>
      </c>
      <c r="I1348" t="s">
        <v>5901</v>
      </c>
      <c r="J1348" t="s">
        <v>596</v>
      </c>
      <c r="K1348" t="s">
        <v>25</v>
      </c>
      <c r="L1348" t="b">
        <v>1</v>
      </c>
      <c r="M1348" t="s">
        <v>5902</v>
      </c>
      <c r="N1348" t="str">
        <f>"341.522"</f>
        <v>341.522</v>
      </c>
      <c r="P1348" t="b">
        <v>0</v>
      </c>
      <c r="Q1348" t="b">
        <v>0</v>
      </c>
      <c r="S1348" t="str">
        <f>"9788892165229"</f>
        <v>9788892165229</v>
      </c>
      <c r="T1348">
        <v>973269835</v>
      </c>
    </row>
    <row r="1349" spans="1:20" x14ac:dyDescent="0.3">
      <c r="A1349">
        <v>1452301</v>
      </c>
      <c r="B1349" t="s">
        <v>5903</v>
      </c>
      <c r="C1349" s="1">
        <v>42370</v>
      </c>
      <c r="D1349" t="s">
        <v>2547</v>
      </c>
      <c r="E1349" t="s">
        <v>2548</v>
      </c>
      <c r="F1349">
        <v>2016</v>
      </c>
      <c r="G1349" t="s">
        <v>1468</v>
      </c>
      <c r="H1349" t="s">
        <v>5904</v>
      </c>
      <c r="I1349" t="s">
        <v>5905</v>
      </c>
      <c r="J1349" t="s">
        <v>596</v>
      </c>
      <c r="K1349" t="s">
        <v>25</v>
      </c>
      <c r="L1349" t="b">
        <v>1</v>
      </c>
      <c r="M1349" t="s">
        <v>5906</v>
      </c>
      <c r="N1349" t="str">
        <f>"344.45"</f>
        <v>344.45</v>
      </c>
      <c r="P1349" t="b">
        <v>0</v>
      </c>
      <c r="Q1349" t="b">
        <v>0</v>
      </c>
      <c r="S1349" t="str">
        <f>"9788892165212"</f>
        <v>9788892165212</v>
      </c>
      <c r="T1349">
        <v>973265811</v>
      </c>
    </row>
    <row r="1350" spans="1:20" x14ac:dyDescent="0.3">
      <c r="A1350">
        <v>1451228</v>
      </c>
      <c r="B1350" t="s">
        <v>5907</v>
      </c>
      <c r="D1350" t="s">
        <v>2547</v>
      </c>
      <c r="E1350" t="s">
        <v>2548</v>
      </c>
      <c r="F1350">
        <v>2016</v>
      </c>
      <c r="G1350" t="s">
        <v>5854</v>
      </c>
      <c r="H1350" t="s">
        <v>5908</v>
      </c>
      <c r="I1350" t="s">
        <v>5909</v>
      </c>
      <c r="J1350" t="s">
        <v>596</v>
      </c>
      <c r="K1350" t="s">
        <v>269</v>
      </c>
      <c r="L1350" t="b">
        <v>1</v>
      </c>
      <c r="M1350" t="s">
        <v>5910</v>
      </c>
      <c r="N1350" t="str">
        <f>"332.1068"</f>
        <v>332.1068</v>
      </c>
      <c r="O1350" t="s">
        <v>5907</v>
      </c>
      <c r="P1350" t="b">
        <v>0</v>
      </c>
      <c r="Q1350" t="b">
        <v>0</v>
      </c>
      <c r="S1350" t="str">
        <f>"9788892162396"</f>
        <v>9788892162396</v>
      </c>
      <c r="T1350">
        <v>969799399</v>
      </c>
    </row>
    <row r="1351" spans="1:20" x14ac:dyDescent="0.3">
      <c r="A1351">
        <v>1451225</v>
      </c>
      <c r="B1351" t="s">
        <v>5911</v>
      </c>
      <c r="D1351" t="s">
        <v>2547</v>
      </c>
      <c r="E1351" t="s">
        <v>2548</v>
      </c>
      <c r="F1351">
        <v>2016</v>
      </c>
      <c r="G1351" t="s">
        <v>1468</v>
      </c>
      <c r="H1351" t="s">
        <v>5912</v>
      </c>
      <c r="I1351" t="s">
        <v>5913</v>
      </c>
      <c r="J1351" t="s">
        <v>596</v>
      </c>
      <c r="K1351" t="s">
        <v>269</v>
      </c>
      <c r="L1351" t="b">
        <v>1</v>
      </c>
      <c r="M1351" t="s">
        <v>5914</v>
      </c>
      <c r="N1351" t="str">
        <f>"346"</f>
        <v>346</v>
      </c>
      <c r="O1351" t="s">
        <v>5915</v>
      </c>
      <c r="P1351" t="b">
        <v>0</v>
      </c>
      <c r="Q1351" t="b">
        <v>0</v>
      </c>
      <c r="S1351" t="str">
        <f>"9788892161382"</f>
        <v>9788892161382</v>
      </c>
      <c r="T1351">
        <v>971365281</v>
      </c>
    </row>
    <row r="1352" spans="1:20" x14ac:dyDescent="0.3">
      <c r="A1352">
        <v>1451224</v>
      </c>
      <c r="B1352" t="s">
        <v>5916</v>
      </c>
      <c r="C1352" t="s">
        <v>5917</v>
      </c>
      <c r="D1352" t="s">
        <v>2547</v>
      </c>
      <c r="E1352" t="s">
        <v>2548</v>
      </c>
      <c r="F1352">
        <v>2017</v>
      </c>
      <c r="G1352" t="s">
        <v>346</v>
      </c>
      <c r="H1352" t="s">
        <v>5918</v>
      </c>
      <c r="I1352" t="s">
        <v>5919</v>
      </c>
      <c r="J1352" t="s">
        <v>596</v>
      </c>
      <c r="K1352" t="s">
        <v>269</v>
      </c>
      <c r="L1352" t="b">
        <v>1</v>
      </c>
      <c r="M1352" t="s">
        <v>5920</v>
      </c>
      <c r="N1352" t="str">
        <f>"341"</f>
        <v>341</v>
      </c>
      <c r="P1352" t="b">
        <v>0</v>
      </c>
      <c r="Q1352" t="b">
        <v>0</v>
      </c>
      <c r="S1352" t="str">
        <f>"9788892160125"</f>
        <v>9788892160125</v>
      </c>
      <c r="T1352">
        <v>971364463</v>
      </c>
    </row>
    <row r="1353" spans="1:20" x14ac:dyDescent="0.3">
      <c r="A1353">
        <v>1451222</v>
      </c>
      <c r="B1353" t="s">
        <v>5921</v>
      </c>
      <c r="C1353" t="s">
        <v>5922</v>
      </c>
      <c r="D1353" t="s">
        <v>2547</v>
      </c>
      <c r="E1353" t="s">
        <v>2548</v>
      </c>
      <c r="F1353">
        <v>2016</v>
      </c>
      <c r="G1353" t="s">
        <v>5923</v>
      </c>
      <c r="H1353" t="s">
        <v>5924</v>
      </c>
      <c r="I1353" t="s">
        <v>5925</v>
      </c>
      <c r="J1353" t="s">
        <v>596</v>
      </c>
      <c r="K1353" t="s">
        <v>55</v>
      </c>
      <c r="L1353" t="b">
        <v>1</v>
      </c>
      <c r="M1353" t="s">
        <v>5926</v>
      </c>
      <c r="N1353" t="str">
        <f>"324.623"</f>
        <v>324.623</v>
      </c>
      <c r="P1353" t="b">
        <v>0</v>
      </c>
      <c r="Q1353" t="b">
        <v>0</v>
      </c>
      <c r="S1353" t="str">
        <f>"9788892153684"</f>
        <v>9788892153684</v>
      </c>
      <c r="T1353">
        <v>971364493</v>
      </c>
    </row>
    <row r="1354" spans="1:20" x14ac:dyDescent="0.3">
      <c r="A1354">
        <v>1451218</v>
      </c>
      <c r="B1354" t="s">
        <v>5927</v>
      </c>
      <c r="C1354" t="s">
        <v>5928</v>
      </c>
      <c r="D1354" t="s">
        <v>2547</v>
      </c>
      <c r="E1354" t="s">
        <v>2548</v>
      </c>
      <c r="F1354">
        <v>2016</v>
      </c>
      <c r="G1354" t="s">
        <v>4483</v>
      </c>
      <c r="H1354" t="s">
        <v>4447</v>
      </c>
      <c r="I1354" t="s">
        <v>5929</v>
      </c>
      <c r="J1354" t="s">
        <v>596</v>
      </c>
      <c r="K1354" t="s">
        <v>55</v>
      </c>
      <c r="L1354" t="b">
        <v>1</v>
      </c>
      <c r="M1354" t="s">
        <v>5930</v>
      </c>
      <c r="N1354" t="str">
        <f>"347"</f>
        <v>347</v>
      </c>
      <c r="P1354" t="b">
        <v>0</v>
      </c>
      <c r="Q1354" t="b">
        <v>0</v>
      </c>
      <c r="S1354" t="str">
        <f>"9788892163065"</f>
        <v>9788892163065</v>
      </c>
      <c r="T1354">
        <v>971365637</v>
      </c>
    </row>
    <row r="1355" spans="1:20" x14ac:dyDescent="0.3">
      <c r="A1355">
        <v>1451186</v>
      </c>
      <c r="B1355" t="s">
        <v>5931</v>
      </c>
      <c r="D1355" t="s">
        <v>2547</v>
      </c>
      <c r="E1355" t="s">
        <v>2548</v>
      </c>
      <c r="F1355">
        <v>2016</v>
      </c>
      <c r="G1355" t="s">
        <v>4419</v>
      </c>
      <c r="H1355" t="s">
        <v>4447</v>
      </c>
      <c r="I1355" t="s">
        <v>4484</v>
      </c>
      <c r="J1355" t="s">
        <v>596</v>
      </c>
      <c r="K1355" t="s">
        <v>269</v>
      </c>
      <c r="L1355" t="b">
        <v>1</v>
      </c>
      <c r="M1355" t="s">
        <v>5932</v>
      </c>
      <c r="N1355" t="str">
        <f>"347.4505"</f>
        <v>347.4505</v>
      </c>
      <c r="O1355" t="s">
        <v>5933</v>
      </c>
      <c r="P1355" t="b">
        <v>0</v>
      </c>
      <c r="Q1355" t="b">
        <v>0</v>
      </c>
      <c r="S1355" t="str">
        <f>"9788892164321"</f>
        <v>9788892164321</v>
      </c>
      <c r="T1355">
        <v>969795351</v>
      </c>
    </row>
    <row r="1356" spans="1:20" x14ac:dyDescent="0.3">
      <c r="A1356">
        <v>1451182</v>
      </c>
      <c r="B1356" t="s">
        <v>5934</v>
      </c>
      <c r="D1356" t="s">
        <v>2547</v>
      </c>
      <c r="E1356" t="s">
        <v>2548</v>
      </c>
      <c r="F1356">
        <v>2016</v>
      </c>
      <c r="G1356" t="s">
        <v>1620</v>
      </c>
      <c r="H1356" t="s">
        <v>5935</v>
      </c>
      <c r="I1356" t="s">
        <v>5936</v>
      </c>
      <c r="J1356" t="s">
        <v>596</v>
      </c>
      <c r="K1356" t="s">
        <v>269</v>
      </c>
      <c r="L1356" t="b">
        <v>1</v>
      </c>
      <c r="M1356" t="s">
        <v>5937</v>
      </c>
      <c r="N1356" t="str">
        <f>"345"</f>
        <v>345</v>
      </c>
      <c r="O1356" t="s">
        <v>5938</v>
      </c>
      <c r="P1356" t="b">
        <v>0</v>
      </c>
      <c r="Q1356" t="b">
        <v>0</v>
      </c>
      <c r="S1356" t="str">
        <f>"9788892163881"</f>
        <v>9788892163881</v>
      </c>
      <c r="T1356">
        <v>971364451</v>
      </c>
    </row>
    <row r="1357" spans="1:20" x14ac:dyDescent="0.3">
      <c r="A1357">
        <v>1451177</v>
      </c>
      <c r="B1357" t="s">
        <v>5939</v>
      </c>
      <c r="C1357" t="s">
        <v>5940</v>
      </c>
      <c r="D1357" t="s">
        <v>2547</v>
      </c>
      <c r="E1357" t="s">
        <v>2548</v>
      </c>
      <c r="F1357">
        <v>2016</v>
      </c>
      <c r="G1357" t="s">
        <v>1415</v>
      </c>
      <c r="H1357" t="s">
        <v>5941</v>
      </c>
      <c r="I1357" t="s">
        <v>5942</v>
      </c>
      <c r="J1357" t="s">
        <v>596</v>
      </c>
      <c r="K1357" t="s">
        <v>269</v>
      </c>
      <c r="L1357" t="b">
        <v>1</v>
      </c>
      <c r="M1357" t="s">
        <v>5943</v>
      </c>
      <c r="N1357" t="str">
        <f>"306.4494"</f>
        <v>306.4494</v>
      </c>
      <c r="P1357" t="b">
        <v>0</v>
      </c>
      <c r="Q1357" t="b">
        <v>0</v>
      </c>
      <c r="S1357" t="str">
        <f>"9788892161993"</f>
        <v>9788892161993</v>
      </c>
      <c r="T1357">
        <v>971546613</v>
      </c>
    </row>
    <row r="1358" spans="1:20" x14ac:dyDescent="0.3">
      <c r="A1358">
        <v>1451176</v>
      </c>
      <c r="B1358" t="s">
        <v>5944</v>
      </c>
      <c r="D1358" t="s">
        <v>2547</v>
      </c>
      <c r="E1358" t="s">
        <v>2548</v>
      </c>
      <c r="F1358">
        <v>2016</v>
      </c>
      <c r="G1358" t="s">
        <v>1620</v>
      </c>
      <c r="H1358" t="s">
        <v>5945</v>
      </c>
      <c r="I1358" t="s">
        <v>5946</v>
      </c>
      <c r="J1358" t="s">
        <v>596</v>
      </c>
      <c r="K1358" t="s">
        <v>269</v>
      </c>
      <c r="L1358" t="b">
        <v>1</v>
      </c>
      <c r="M1358" t="s">
        <v>5947</v>
      </c>
      <c r="N1358" t="str">
        <f>"345.45"</f>
        <v>345.45</v>
      </c>
      <c r="O1358" t="s">
        <v>5948</v>
      </c>
      <c r="P1358" t="b">
        <v>0</v>
      </c>
      <c r="Q1358" t="b">
        <v>0</v>
      </c>
      <c r="S1358" t="str">
        <f>"9788892161573"</f>
        <v>9788892161573</v>
      </c>
      <c r="T1358">
        <v>971546456</v>
      </c>
    </row>
    <row r="1359" spans="1:20" x14ac:dyDescent="0.3">
      <c r="A1359">
        <v>1451175</v>
      </c>
      <c r="B1359" t="s">
        <v>5949</v>
      </c>
      <c r="C1359" t="s">
        <v>5950</v>
      </c>
      <c r="D1359" t="s">
        <v>2547</v>
      </c>
      <c r="E1359" t="s">
        <v>2548</v>
      </c>
      <c r="F1359">
        <v>2016</v>
      </c>
      <c r="G1359" t="s">
        <v>5224</v>
      </c>
      <c r="H1359" t="s">
        <v>5951</v>
      </c>
      <c r="I1359" t="s">
        <v>5952</v>
      </c>
      <c r="J1359" t="s">
        <v>596</v>
      </c>
      <c r="K1359" t="s">
        <v>25</v>
      </c>
      <c r="L1359" t="b">
        <v>1</v>
      </c>
      <c r="M1359" t="s">
        <v>5953</v>
      </c>
      <c r="N1359" t="str">
        <f>"342.4"</f>
        <v>342.4</v>
      </c>
      <c r="O1359" t="s">
        <v>5954</v>
      </c>
      <c r="P1359" t="b">
        <v>0</v>
      </c>
      <c r="Q1359" t="b">
        <v>0</v>
      </c>
      <c r="S1359" t="str">
        <f>"9788892161474"</f>
        <v>9788892161474</v>
      </c>
      <c r="T1359">
        <v>969816816</v>
      </c>
    </row>
    <row r="1360" spans="1:20" x14ac:dyDescent="0.3">
      <c r="A1360">
        <v>1450814</v>
      </c>
      <c r="B1360" t="s">
        <v>5955</v>
      </c>
      <c r="C1360" t="s">
        <v>5956</v>
      </c>
      <c r="D1360" t="s">
        <v>2450</v>
      </c>
      <c r="E1360" t="s">
        <v>2451</v>
      </c>
      <c r="F1360">
        <v>2016</v>
      </c>
      <c r="G1360" t="s">
        <v>97</v>
      </c>
      <c r="H1360" t="s">
        <v>5957</v>
      </c>
      <c r="I1360" t="s">
        <v>5958</v>
      </c>
      <c r="J1360" t="s">
        <v>2437</v>
      </c>
      <c r="K1360" t="s">
        <v>25</v>
      </c>
      <c r="L1360" t="b">
        <v>1</v>
      </c>
      <c r="M1360" t="s">
        <v>5593</v>
      </c>
      <c r="N1360" t="str">
        <f>"261.7"</f>
        <v>261.7</v>
      </c>
      <c r="P1360" t="b">
        <v>0</v>
      </c>
      <c r="R1360" t="str">
        <f>"9783959481199"</f>
        <v>9783959481199</v>
      </c>
      <c r="S1360" t="str">
        <f>"9783869459714"</f>
        <v>9783869459714</v>
      </c>
      <c r="T1360">
        <v>968212013</v>
      </c>
    </row>
    <row r="1361" spans="1:20" x14ac:dyDescent="0.3">
      <c r="A1361">
        <v>1450813</v>
      </c>
      <c r="B1361" t="s">
        <v>5959</v>
      </c>
      <c r="C1361" t="s">
        <v>5960</v>
      </c>
      <c r="D1361" t="s">
        <v>2450</v>
      </c>
      <c r="E1361" t="s">
        <v>2451</v>
      </c>
      <c r="F1361">
        <v>2016</v>
      </c>
      <c r="G1361" t="s">
        <v>2254</v>
      </c>
      <c r="H1361" t="s">
        <v>5961</v>
      </c>
      <c r="I1361" t="s">
        <v>5962</v>
      </c>
      <c r="J1361" t="s">
        <v>2437</v>
      </c>
      <c r="K1361" t="s">
        <v>25</v>
      </c>
      <c r="L1361" t="b">
        <v>1</v>
      </c>
      <c r="M1361" t="s">
        <v>2606</v>
      </c>
      <c r="N1361" t="str">
        <f>"300"</f>
        <v>300</v>
      </c>
      <c r="P1361" t="b">
        <v>0</v>
      </c>
      <c r="R1361" t="str">
        <f>"9783959482073"</f>
        <v>9783959482073</v>
      </c>
      <c r="S1361" t="str">
        <f>"9783869459721"</f>
        <v>9783869459721</v>
      </c>
      <c r="T1361">
        <v>968212012</v>
      </c>
    </row>
    <row r="1362" spans="1:20" x14ac:dyDescent="0.3">
      <c r="A1362">
        <v>1450810</v>
      </c>
      <c r="B1362" t="s">
        <v>5963</v>
      </c>
      <c r="D1362" t="s">
        <v>2450</v>
      </c>
      <c r="E1362" t="s">
        <v>2451</v>
      </c>
      <c r="F1362">
        <v>2016</v>
      </c>
      <c r="G1362" t="s">
        <v>319</v>
      </c>
      <c r="H1362" t="s">
        <v>4943</v>
      </c>
      <c r="I1362" t="s">
        <v>5964</v>
      </c>
      <c r="J1362" t="s">
        <v>2437</v>
      </c>
      <c r="K1362" t="s">
        <v>25</v>
      </c>
      <c r="L1362" t="b">
        <v>1</v>
      </c>
      <c r="M1362" t="s">
        <v>5965</v>
      </c>
      <c r="N1362" t="str">
        <f>"658.4/08"</f>
        <v>658.4/08</v>
      </c>
      <c r="O1362" t="s">
        <v>5966</v>
      </c>
      <c r="P1362" t="b">
        <v>0</v>
      </c>
      <c r="R1362" t="str">
        <f>"9783959481724"</f>
        <v>9783959481724</v>
      </c>
      <c r="S1362" t="str">
        <f>"9783869459752"</f>
        <v>9783869459752</v>
      </c>
      <c r="T1362">
        <v>968212002</v>
      </c>
    </row>
    <row r="1363" spans="1:20" x14ac:dyDescent="0.3">
      <c r="A1363">
        <v>1450809</v>
      </c>
      <c r="B1363" t="s">
        <v>5967</v>
      </c>
      <c r="D1363" t="s">
        <v>2450</v>
      </c>
      <c r="E1363" t="s">
        <v>2451</v>
      </c>
      <c r="F1363">
        <v>2017</v>
      </c>
      <c r="G1363" t="s">
        <v>2903</v>
      </c>
      <c r="H1363" t="s">
        <v>5968</v>
      </c>
      <c r="I1363" t="s">
        <v>5969</v>
      </c>
      <c r="J1363" t="s">
        <v>24</v>
      </c>
      <c r="K1363" t="s">
        <v>25</v>
      </c>
      <c r="L1363" t="b">
        <v>1</v>
      </c>
      <c r="M1363" t="s">
        <v>5970</v>
      </c>
      <c r="N1363" t="str">
        <f>"200"</f>
        <v>200</v>
      </c>
      <c r="O1363" t="s">
        <v>5971</v>
      </c>
      <c r="P1363" t="b">
        <v>0</v>
      </c>
      <c r="R1363" t="str">
        <f>"9783959482103"</f>
        <v>9783959482103</v>
      </c>
      <c r="S1363" t="str">
        <f>"9783869459769"</f>
        <v>9783869459769</v>
      </c>
      <c r="T1363">
        <v>968212001</v>
      </c>
    </row>
    <row r="1364" spans="1:20" x14ac:dyDescent="0.3">
      <c r="A1364">
        <v>1450808</v>
      </c>
      <c r="B1364" t="s">
        <v>5972</v>
      </c>
      <c r="C1364" t="s">
        <v>5973</v>
      </c>
      <c r="D1364" t="s">
        <v>2450</v>
      </c>
      <c r="E1364" t="s">
        <v>2451</v>
      </c>
      <c r="F1364">
        <v>2016</v>
      </c>
      <c r="G1364" t="s">
        <v>2181</v>
      </c>
      <c r="H1364" t="s">
        <v>5207</v>
      </c>
      <c r="I1364" t="s">
        <v>5974</v>
      </c>
      <c r="J1364" t="s">
        <v>2437</v>
      </c>
      <c r="K1364" t="s">
        <v>25</v>
      </c>
      <c r="L1364" t="b">
        <v>1</v>
      </c>
      <c r="M1364" t="s">
        <v>5975</v>
      </c>
      <c r="N1364" t="str">
        <f>"910.3"</f>
        <v>910.3</v>
      </c>
      <c r="P1364" t="b">
        <v>0</v>
      </c>
      <c r="R1364" t="str">
        <f>"9783959482097"</f>
        <v>9783959482097</v>
      </c>
      <c r="S1364" t="str">
        <f>"9783869459776"</f>
        <v>9783869459776</v>
      </c>
      <c r="T1364">
        <v>968212000</v>
      </c>
    </row>
    <row r="1365" spans="1:20" x14ac:dyDescent="0.3">
      <c r="A1365">
        <v>1450807</v>
      </c>
      <c r="B1365" t="s">
        <v>5976</v>
      </c>
      <c r="D1365" t="s">
        <v>2450</v>
      </c>
      <c r="E1365" t="s">
        <v>2451</v>
      </c>
      <c r="F1365">
        <v>2016</v>
      </c>
      <c r="G1365" t="s">
        <v>60</v>
      </c>
      <c r="H1365" t="s">
        <v>5977</v>
      </c>
      <c r="I1365" t="s">
        <v>5978</v>
      </c>
      <c r="J1365" t="s">
        <v>2437</v>
      </c>
      <c r="K1365" t="s">
        <v>25</v>
      </c>
      <c r="L1365" t="b">
        <v>1</v>
      </c>
      <c r="M1365" t="s">
        <v>5979</v>
      </c>
      <c r="N1365" t="str">
        <f>"943/.151"</f>
        <v>943/.151</v>
      </c>
      <c r="P1365" t="b">
        <v>0</v>
      </c>
      <c r="R1365" t="str">
        <f>"9783959482042"</f>
        <v>9783959482042</v>
      </c>
      <c r="S1365" t="str">
        <f>"9783869459783"</f>
        <v>9783869459783</v>
      </c>
      <c r="T1365">
        <v>968211999</v>
      </c>
    </row>
    <row r="1366" spans="1:20" x14ac:dyDescent="0.3">
      <c r="A1366">
        <v>1450806</v>
      </c>
      <c r="B1366" t="s">
        <v>5980</v>
      </c>
      <c r="D1366" t="s">
        <v>2450</v>
      </c>
      <c r="E1366" t="s">
        <v>2451</v>
      </c>
      <c r="F1366">
        <v>2016</v>
      </c>
      <c r="G1366" t="s">
        <v>287</v>
      </c>
      <c r="H1366" t="s">
        <v>5981</v>
      </c>
      <c r="I1366" t="s">
        <v>5982</v>
      </c>
      <c r="J1366" t="s">
        <v>2437</v>
      </c>
      <c r="K1366" t="s">
        <v>25</v>
      </c>
      <c r="L1366" t="b">
        <v>1</v>
      </c>
      <c r="M1366" t="s">
        <v>5983</v>
      </c>
      <c r="N1366" t="str">
        <f>"121"</f>
        <v>121</v>
      </c>
      <c r="O1366" t="s">
        <v>5984</v>
      </c>
      <c r="P1366" t="b">
        <v>0</v>
      </c>
      <c r="R1366" t="str">
        <f>"9783959482028"</f>
        <v>9783959482028</v>
      </c>
      <c r="S1366" t="str">
        <f>"9783869459790"</f>
        <v>9783869459790</v>
      </c>
      <c r="T1366">
        <v>968243622</v>
      </c>
    </row>
    <row r="1367" spans="1:20" x14ac:dyDescent="0.3">
      <c r="A1367">
        <v>1449911</v>
      </c>
      <c r="B1367" t="s">
        <v>5985</v>
      </c>
      <c r="C1367" t="s">
        <v>5986</v>
      </c>
      <c r="D1367" t="s">
        <v>2442</v>
      </c>
      <c r="E1367" t="s">
        <v>4047</v>
      </c>
      <c r="F1367">
        <v>2017</v>
      </c>
      <c r="G1367" t="s">
        <v>5987</v>
      </c>
      <c r="H1367" t="s">
        <v>5988</v>
      </c>
      <c r="I1367" t="s">
        <v>5989</v>
      </c>
      <c r="J1367" t="s">
        <v>2437</v>
      </c>
      <c r="K1367" t="s">
        <v>269</v>
      </c>
      <c r="L1367" t="b">
        <v>1</v>
      </c>
      <c r="M1367" t="s">
        <v>5990</v>
      </c>
      <c r="N1367" t="str">
        <f>"641.5/639311"</f>
        <v>641.5/639311</v>
      </c>
      <c r="P1367" t="b">
        <v>0</v>
      </c>
      <c r="R1367" t="str">
        <f>"9783899939422"</f>
        <v>9783899939422</v>
      </c>
      <c r="S1367" t="str">
        <f>"9783842688407"</f>
        <v>9783842688407</v>
      </c>
      <c r="T1367">
        <v>1015372223</v>
      </c>
    </row>
    <row r="1368" spans="1:20" x14ac:dyDescent="0.3">
      <c r="A1368">
        <v>1449909</v>
      </c>
      <c r="B1368" t="s">
        <v>5991</v>
      </c>
      <c r="C1368" t="s">
        <v>5992</v>
      </c>
      <c r="D1368" t="s">
        <v>2442</v>
      </c>
      <c r="E1368" t="s">
        <v>4047</v>
      </c>
      <c r="F1368">
        <v>2017</v>
      </c>
      <c r="G1368" t="s">
        <v>2813</v>
      </c>
      <c r="H1368" t="s">
        <v>5993</v>
      </c>
      <c r="I1368" t="s">
        <v>5994</v>
      </c>
      <c r="J1368" t="s">
        <v>2437</v>
      </c>
      <c r="K1368" t="s">
        <v>269</v>
      </c>
      <c r="L1368" t="b">
        <v>1</v>
      </c>
      <c r="M1368" t="s">
        <v>5995</v>
      </c>
      <c r="N1368" t="str">
        <f>"616.1/43"</f>
        <v>616.1/43</v>
      </c>
      <c r="P1368" t="b">
        <v>0</v>
      </c>
      <c r="R1368" t="str">
        <f>"9783899939408"</f>
        <v>9783899939408</v>
      </c>
      <c r="S1368" t="str">
        <f>"9783842688261"</f>
        <v>9783842688261</v>
      </c>
      <c r="T1368">
        <v>1015372221</v>
      </c>
    </row>
    <row r="1369" spans="1:20" x14ac:dyDescent="0.3">
      <c r="A1369">
        <v>1449908</v>
      </c>
      <c r="B1369" t="s">
        <v>5996</v>
      </c>
      <c r="C1369" t="s">
        <v>5997</v>
      </c>
      <c r="D1369" t="s">
        <v>2442</v>
      </c>
      <c r="E1369" t="s">
        <v>4047</v>
      </c>
      <c r="F1369">
        <v>2017</v>
      </c>
      <c r="G1369" t="s">
        <v>2813</v>
      </c>
      <c r="H1369" t="s">
        <v>5998</v>
      </c>
      <c r="I1369" t="s">
        <v>5999</v>
      </c>
      <c r="J1369" t="s">
        <v>2437</v>
      </c>
      <c r="K1369" t="s">
        <v>269</v>
      </c>
      <c r="L1369" t="b">
        <v>1</v>
      </c>
      <c r="M1369" t="s">
        <v>6000</v>
      </c>
      <c r="N1369" t="str">
        <f>"616.7/223"</f>
        <v>616.7/223</v>
      </c>
      <c r="P1369" t="b">
        <v>0</v>
      </c>
      <c r="R1369" t="str">
        <f>"9783899939507"</f>
        <v>9783899939507</v>
      </c>
      <c r="S1369" t="str">
        <f>"9783842688650"</f>
        <v>9783842688650</v>
      </c>
      <c r="T1369">
        <v>1015372220</v>
      </c>
    </row>
    <row r="1370" spans="1:20" x14ac:dyDescent="0.3">
      <c r="A1370">
        <v>1449046</v>
      </c>
      <c r="B1370" t="s">
        <v>6001</v>
      </c>
      <c r="C1370" t="s">
        <v>6002</v>
      </c>
      <c r="D1370" t="s">
        <v>2442</v>
      </c>
      <c r="E1370" t="s">
        <v>2443</v>
      </c>
      <c r="F1370">
        <v>2017</v>
      </c>
      <c r="G1370" t="s">
        <v>2666</v>
      </c>
      <c r="H1370" t="s">
        <v>6003</v>
      </c>
      <c r="I1370" t="s">
        <v>6004</v>
      </c>
      <c r="J1370" t="s">
        <v>2437</v>
      </c>
      <c r="K1370" t="s">
        <v>269</v>
      </c>
      <c r="L1370" t="b">
        <v>1</v>
      </c>
      <c r="M1370" t="s">
        <v>6005</v>
      </c>
      <c r="N1370" t="str">
        <f>"616/.0472"</f>
        <v>616/.0472</v>
      </c>
      <c r="O1370" t="s">
        <v>5682</v>
      </c>
      <c r="P1370" t="b">
        <v>0</v>
      </c>
      <c r="R1370" t="str">
        <f>"9783899938388"</f>
        <v>9783899938388</v>
      </c>
      <c r="S1370" t="str">
        <f>"9783842688421"</f>
        <v>9783842688421</v>
      </c>
      <c r="T1370">
        <v>1012399913</v>
      </c>
    </row>
    <row r="1371" spans="1:20" x14ac:dyDescent="0.3">
      <c r="A1371">
        <v>1449041</v>
      </c>
      <c r="B1371" t="s">
        <v>6006</v>
      </c>
      <c r="C1371" t="s">
        <v>6007</v>
      </c>
      <c r="D1371" t="s">
        <v>2442</v>
      </c>
      <c r="E1371" t="s">
        <v>2443</v>
      </c>
      <c r="F1371">
        <v>2017</v>
      </c>
      <c r="G1371" t="s">
        <v>2813</v>
      </c>
      <c r="H1371" t="s">
        <v>6008</v>
      </c>
      <c r="I1371" t="s">
        <v>6009</v>
      </c>
      <c r="J1371" t="s">
        <v>2437</v>
      </c>
      <c r="K1371" t="s">
        <v>25</v>
      </c>
      <c r="L1371" t="b">
        <v>1</v>
      </c>
      <c r="M1371" t="s">
        <v>6010</v>
      </c>
      <c r="N1371" t="str">
        <f>"616.3/62"</f>
        <v>616.3/62</v>
      </c>
      <c r="P1371" t="b">
        <v>0</v>
      </c>
      <c r="R1371" t="str">
        <f>"9783899939385"</f>
        <v>9783899939385</v>
      </c>
      <c r="S1371" t="str">
        <f>"9783842687943"</f>
        <v>9783842687943</v>
      </c>
      <c r="T1371">
        <v>1015372212</v>
      </c>
    </row>
    <row r="1372" spans="1:20" x14ac:dyDescent="0.3">
      <c r="A1372">
        <v>1449038</v>
      </c>
      <c r="B1372" t="s">
        <v>6011</v>
      </c>
      <c r="C1372" t="s">
        <v>6012</v>
      </c>
      <c r="D1372" t="s">
        <v>2442</v>
      </c>
      <c r="E1372" t="s">
        <v>4047</v>
      </c>
      <c r="F1372">
        <v>2017</v>
      </c>
      <c r="G1372" t="s">
        <v>2813</v>
      </c>
      <c r="H1372" t="s">
        <v>6013</v>
      </c>
      <c r="I1372" t="s">
        <v>6014</v>
      </c>
      <c r="J1372" t="s">
        <v>2437</v>
      </c>
      <c r="K1372" t="s">
        <v>269</v>
      </c>
      <c r="L1372" t="b">
        <v>1</v>
      </c>
      <c r="M1372" t="s">
        <v>6015</v>
      </c>
      <c r="N1372" t="str">
        <f>"616.3/4"</f>
        <v>616.3/4</v>
      </c>
      <c r="P1372" t="b">
        <v>0</v>
      </c>
      <c r="R1372" t="str">
        <f>"9783899939446"</f>
        <v>9783899939446</v>
      </c>
      <c r="S1372" t="str">
        <f>"9783842688483"</f>
        <v>9783842688483</v>
      </c>
      <c r="T1372">
        <v>1015372209</v>
      </c>
    </row>
    <row r="1373" spans="1:20" x14ac:dyDescent="0.3">
      <c r="A1373">
        <v>1447546</v>
      </c>
      <c r="B1373" t="s">
        <v>6016</v>
      </c>
      <c r="D1373" t="s">
        <v>6017</v>
      </c>
      <c r="E1373" t="s">
        <v>6018</v>
      </c>
      <c r="F1373">
        <v>2016</v>
      </c>
      <c r="J1373" t="s">
        <v>442</v>
      </c>
      <c r="K1373" t="s">
        <v>25</v>
      </c>
      <c r="L1373" t="b">
        <v>1</v>
      </c>
      <c r="M1373" t="s">
        <v>6019</v>
      </c>
      <c r="P1373" t="b">
        <v>0</v>
      </c>
      <c r="Q1373" t="b">
        <v>0</v>
      </c>
      <c r="S1373" t="str">
        <f>"9785447564711"</f>
        <v>9785447564711</v>
      </c>
    </row>
    <row r="1374" spans="1:20" x14ac:dyDescent="0.3">
      <c r="A1374">
        <v>1447540</v>
      </c>
      <c r="B1374" t="s">
        <v>6020</v>
      </c>
      <c r="D1374" t="s">
        <v>2432</v>
      </c>
      <c r="E1374" t="s">
        <v>2433</v>
      </c>
      <c r="F1374">
        <v>2017</v>
      </c>
      <c r="G1374" t="s">
        <v>6021</v>
      </c>
      <c r="H1374" t="s">
        <v>6022</v>
      </c>
      <c r="I1374" t="s">
        <v>6023</v>
      </c>
      <c r="J1374" t="s">
        <v>2437</v>
      </c>
      <c r="K1374" t="s">
        <v>25</v>
      </c>
      <c r="L1374" t="b">
        <v>1</v>
      </c>
      <c r="M1374" t="s">
        <v>6024</v>
      </c>
      <c r="N1374" t="str">
        <f>"388.3/122"</f>
        <v>388.3/122</v>
      </c>
      <c r="O1374" t="s">
        <v>6025</v>
      </c>
      <c r="P1374" t="b">
        <v>0</v>
      </c>
      <c r="R1374" t="str">
        <f>"9783737602464"</f>
        <v>9783737602464</v>
      </c>
      <c r="S1374" t="str">
        <f>"9783737602471"</f>
        <v>9783737602471</v>
      </c>
      <c r="T1374">
        <v>967778224</v>
      </c>
    </row>
    <row r="1375" spans="1:20" x14ac:dyDescent="0.3">
      <c r="A1375">
        <v>1447365</v>
      </c>
      <c r="B1375" t="s">
        <v>6026</v>
      </c>
      <c r="D1375" t="s">
        <v>3445</v>
      </c>
      <c r="E1375" t="s">
        <v>3446</v>
      </c>
      <c r="F1375">
        <v>2017</v>
      </c>
      <c r="G1375" t="s">
        <v>3153</v>
      </c>
      <c r="H1375" t="s">
        <v>6027</v>
      </c>
      <c r="I1375" t="s">
        <v>6028</v>
      </c>
      <c r="J1375" t="s">
        <v>24</v>
      </c>
      <c r="K1375" t="s">
        <v>25</v>
      </c>
      <c r="L1375" t="b">
        <v>1</v>
      </c>
      <c r="M1375" t="s">
        <v>6029</v>
      </c>
      <c r="N1375" t="str">
        <f>"371.102"</f>
        <v>371.102</v>
      </c>
      <c r="P1375" t="b">
        <v>0</v>
      </c>
      <c r="Q1375" t="b">
        <v>0</v>
      </c>
      <c r="R1375" t="str">
        <f>"9781562867652"</f>
        <v>9781562867652</v>
      </c>
      <c r="S1375" t="str">
        <f>"9781562867799"</f>
        <v>9781562867799</v>
      </c>
      <c r="T1375">
        <v>968243815</v>
      </c>
    </row>
    <row r="1376" spans="1:20" x14ac:dyDescent="0.3">
      <c r="A1376">
        <v>1447063</v>
      </c>
      <c r="B1376" t="s">
        <v>6030</v>
      </c>
      <c r="D1376" t="s">
        <v>6031</v>
      </c>
      <c r="E1376" t="s">
        <v>6032</v>
      </c>
      <c r="F1376">
        <v>2016</v>
      </c>
      <c r="G1376" t="s">
        <v>3725</v>
      </c>
      <c r="H1376" t="s">
        <v>6033</v>
      </c>
      <c r="I1376" t="s">
        <v>6034</v>
      </c>
      <c r="J1376" t="s">
        <v>580</v>
      </c>
      <c r="K1376" t="s">
        <v>25</v>
      </c>
      <c r="L1376" t="b">
        <v>1</v>
      </c>
      <c r="M1376" t="s">
        <v>6035</v>
      </c>
      <c r="N1376" t="str">
        <f>"330"</f>
        <v>330</v>
      </c>
      <c r="O1376" t="s">
        <v>6036</v>
      </c>
      <c r="P1376" t="b">
        <v>0</v>
      </c>
      <c r="Q1376" t="b">
        <v>0</v>
      </c>
      <c r="R1376" t="str">
        <f>"9788490859940"</f>
        <v>9788490859940</v>
      </c>
      <c r="S1376" t="str">
        <f>"9788491480433"</f>
        <v>9788491480433</v>
      </c>
      <c r="T1376">
        <v>968182078</v>
      </c>
    </row>
    <row r="1377" spans="1:20" x14ac:dyDescent="0.3">
      <c r="A1377">
        <v>1447057</v>
      </c>
      <c r="B1377" t="s">
        <v>6037</v>
      </c>
      <c r="C1377" t="s">
        <v>6038</v>
      </c>
      <c r="D1377" t="s">
        <v>6031</v>
      </c>
      <c r="E1377" t="s">
        <v>6032</v>
      </c>
      <c r="F1377">
        <v>2016</v>
      </c>
      <c r="G1377" t="s">
        <v>3542</v>
      </c>
      <c r="H1377" t="s">
        <v>6039</v>
      </c>
      <c r="I1377" t="s">
        <v>6040</v>
      </c>
      <c r="J1377" t="s">
        <v>580</v>
      </c>
      <c r="K1377" t="s">
        <v>25</v>
      </c>
      <c r="L1377" t="b">
        <v>1</v>
      </c>
      <c r="M1377" t="s">
        <v>6041</v>
      </c>
      <c r="N1377" t="str">
        <f>"381/.142"</f>
        <v>381/.142</v>
      </c>
      <c r="P1377" t="b">
        <v>0</v>
      </c>
      <c r="Q1377" t="b">
        <v>0</v>
      </c>
      <c r="R1377" t="str">
        <f>"9788490859841"</f>
        <v>9788490859841</v>
      </c>
      <c r="S1377" t="str">
        <f>"9788491480235"</f>
        <v>9788491480235</v>
      </c>
      <c r="T1377">
        <v>968174605</v>
      </c>
    </row>
    <row r="1378" spans="1:20" x14ac:dyDescent="0.3">
      <c r="A1378">
        <v>1447055</v>
      </c>
      <c r="B1378" t="s">
        <v>6042</v>
      </c>
      <c r="C1378" t="s">
        <v>6043</v>
      </c>
      <c r="D1378" t="s">
        <v>6031</v>
      </c>
      <c r="E1378" t="s">
        <v>6032</v>
      </c>
      <c r="F1378">
        <v>2016</v>
      </c>
      <c r="G1378" t="s">
        <v>5212</v>
      </c>
      <c r="H1378" t="s">
        <v>6044</v>
      </c>
      <c r="I1378" t="s">
        <v>6045</v>
      </c>
      <c r="J1378" t="s">
        <v>580</v>
      </c>
      <c r="K1378" t="s">
        <v>25</v>
      </c>
      <c r="L1378" t="b">
        <v>1</v>
      </c>
      <c r="M1378" t="s">
        <v>6046</v>
      </c>
      <c r="N1378" t="str">
        <f>"302.23"</f>
        <v>302.23</v>
      </c>
      <c r="P1378" t="b">
        <v>0</v>
      </c>
      <c r="Q1378" t="b">
        <v>0</v>
      </c>
      <c r="R1378" t="str">
        <f>"9788490859766"</f>
        <v>9788490859766</v>
      </c>
      <c r="S1378" t="str">
        <f>"9788491480198"</f>
        <v>9788491480198</v>
      </c>
      <c r="T1378">
        <v>968162356</v>
      </c>
    </row>
    <row r="1379" spans="1:20" x14ac:dyDescent="0.3">
      <c r="A1379">
        <v>1447032</v>
      </c>
      <c r="B1379" t="s">
        <v>6047</v>
      </c>
      <c r="D1379" t="s">
        <v>6031</v>
      </c>
      <c r="E1379" t="s">
        <v>6032</v>
      </c>
      <c r="F1379">
        <v>2016</v>
      </c>
      <c r="G1379" t="s">
        <v>6048</v>
      </c>
      <c r="H1379" t="s">
        <v>6049</v>
      </c>
      <c r="I1379" t="s">
        <v>6050</v>
      </c>
      <c r="J1379" t="s">
        <v>580</v>
      </c>
      <c r="K1379" t="s">
        <v>25</v>
      </c>
      <c r="L1379" t="b">
        <v>1</v>
      </c>
      <c r="M1379" t="s">
        <v>6051</v>
      </c>
      <c r="N1379" t="str">
        <f>"304"</f>
        <v>304</v>
      </c>
      <c r="P1379" t="b">
        <v>0</v>
      </c>
      <c r="Q1379" t="b">
        <v>0</v>
      </c>
      <c r="R1379" t="str">
        <f>"9788490858851"</f>
        <v>9788490858851</v>
      </c>
      <c r="S1379" t="str">
        <f>"9788490859551"</f>
        <v>9788490859551</v>
      </c>
      <c r="T1379">
        <v>968197463</v>
      </c>
    </row>
    <row r="1380" spans="1:20" x14ac:dyDescent="0.3">
      <c r="A1380">
        <v>1446102</v>
      </c>
      <c r="B1380" t="s">
        <v>6052</v>
      </c>
      <c r="C1380" t="s">
        <v>6053</v>
      </c>
      <c r="D1380" t="s">
        <v>3850</v>
      </c>
      <c r="E1380" t="s">
        <v>3851</v>
      </c>
      <c r="F1380">
        <v>2017</v>
      </c>
      <c r="G1380" t="s">
        <v>305</v>
      </c>
      <c r="H1380" t="s">
        <v>6054</v>
      </c>
      <c r="I1380" t="s">
        <v>6055</v>
      </c>
      <c r="J1380" t="s">
        <v>24</v>
      </c>
      <c r="K1380" t="s">
        <v>269</v>
      </c>
      <c r="L1380" t="b">
        <v>1</v>
      </c>
      <c r="M1380" t="s">
        <v>6056</v>
      </c>
      <c r="N1380" t="str">
        <f>"378.1/982996073"</f>
        <v>378.1/982996073</v>
      </c>
      <c r="P1380" t="b">
        <v>0</v>
      </c>
      <c r="R1380" t="str">
        <f>"9781438463995"</f>
        <v>9781438463995</v>
      </c>
      <c r="S1380" t="str">
        <f>"9781438464015"</f>
        <v>9781438464015</v>
      </c>
      <c r="T1380">
        <v>953919224</v>
      </c>
    </row>
    <row r="1381" spans="1:20" x14ac:dyDescent="0.3">
      <c r="A1381">
        <v>1445333</v>
      </c>
      <c r="B1381" t="s">
        <v>6057</v>
      </c>
      <c r="C1381" t="s">
        <v>6058</v>
      </c>
      <c r="D1381" t="s">
        <v>394</v>
      </c>
      <c r="E1381" t="s">
        <v>394</v>
      </c>
      <c r="F1381">
        <v>2017</v>
      </c>
      <c r="G1381" t="s">
        <v>4221</v>
      </c>
      <c r="H1381" t="s">
        <v>6059</v>
      </c>
      <c r="I1381" t="s">
        <v>6060</v>
      </c>
      <c r="J1381" t="s">
        <v>24</v>
      </c>
      <c r="K1381" t="s">
        <v>25</v>
      </c>
      <c r="L1381" t="b">
        <v>1</v>
      </c>
      <c r="M1381" t="s">
        <v>6061</v>
      </c>
      <c r="N1381" t="str">
        <f>"370"</f>
        <v>370</v>
      </c>
      <c r="O1381" t="s">
        <v>6062</v>
      </c>
      <c r="P1381" t="b">
        <v>0</v>
      </c>
      <c r="Q1381" t="b">
        <v>0</v>
      </c>
      <c r="R1381" t="str">
        <f>"9789463008075"</f>
        <v>9789463008075</v>
      </c>
      <c r="S1381" t="str">
        <f>"9789463008099"</f>
        <v>9789463008099</v>
      </c>
      <c r="T1381">
        <v>967711412</v>
      </c>
    </row>
    <row r="1382" spans="1:20" x14ac:dyDescent="0.3">
      <c r="A1382">
        <v>1445332</v>
      </c>
      <c r="B1382" t="s">
        <v>6063</v>
      </c>
      <c r="C1382" t="s">
        <v>6064</v>
      </c>
      <c r="D1382" t="s">
        <v>394</v>
      </c>
      <c r="E1382" t="s">
        <v>394</v>
      </c>
      <c r="F1382">
        <v>2017</v>
      </c>
      <c r="G1382" t="s">
        <v>4221</v>
      </c>
      <c r="H1382" t="s">
        <v>6065</v>
      </c>
      <c r="I1382" t="s">
        <v>6066</v>
      </c>
      <c r="J1382" t="s">
        <v>24</v>
      </c>
      <c r="K1382" t="s">
        <v>25</v>
      </c>
      <c r="L1382" t="b">
        <v>1</v>
      </c>
      <c r="M1382" t="s">
        <v>6067</v>
      </c>
      <c r="N1382" t="str">
        <f>"370"</f>
        <v>370</v>
      </c>
      <c r="P1382" t="b">
        <v>0</v>
      </c>
      <c r="Q1382" t="b">
        <v>0</v>
      </c>
      <c r="R1382" t="str">
        <f>"9789463004510"</f>
        <v>9789463004510</v>
      </c>
      <c r="S1382" t="str">
        <f>"9789463004534"</f>
        <v>9789463004534</v>
      </c>
      <c r="T1382">
        <v>967586284</v>
      </c>
    </row>
    <row r="1383" spans="1:20" x14ac:dyDescent="0.3">
      <c r="A1383">
        <v>1443865</v>
      </c>
      <c r="B1383" t="s">
        <v>6068</v>
      </c>
      <c r="C1383" t="s">
        <v>6069</v>
      </c>
      <c r="D1383" t="s">
        <v>2860</v>
      </c>
      <c r="E1383" t="s">
        <v>2860</v>
      </c>
      <c r="F1383">
        <v>2017</v>
      </c>
      <c r="G1383" t="s">
        <v>6070</v>
      </c>
      <c r="H1383" t="s">
        <v>6071</v>
      </c>
      <c r="I1383" t="s">
        <v>6072</v>
      </c>
      <c r="J1383" t="s">
        <v>24</v>
      </c>
      <c r="K1383" t="s">
        <v>25</v>
      </c>
      <c r="L1383" t="b">
        <v>1</v>
      </c>
      <c r="M1383" t="s">
        <v>6073</v>
      </c>
      <c r="N1383" t="str">
        <f>"572.33"</f>
        <v>572.33</v>
      </c>
      <c r="O1383" t="s">
        <v>6068</v>
      </c>
      <c r="P1383" t="b">
        <v>0</v>
      </c>
      <c r="Q1383" t="b">
        <v>0</v>
      </c>
      <c r="R1383" t="str">
        <f>"9781536104264"</f>
        <v>9781536104264</v>
      </c>
      <c r="S1383" t="str">
        <f>"9781536104400"</f>
        <v>9781536104400</v>
      </c>
      <c r="T1383">
        <v>967224251</v>
      </c>
    </row>
    <row r="1384" spans="1:20" x14ac:dyDescent="0.3">
      <c r="A1384">
        <v>1442531</v>
      </c>
      <c r="B1384" t="s">
        <v>6074</v>
      </c>
      <c r="C1384" t="s">
        <v>6075</v>
      </c>
      <c r="D1384" t="s">
        <v>2547</v>
      </c>
      <c r="E1384" t="s">
        <v>2548</v>
      </c>
      <c r="F1384">
        <v>2016</v>
      </c>
      <c r="G1384" t="s">
        <v>1468</v>
      </c>
      <c r="H1384" t="s">
        <v>6076</v>
      </c>
      <c r="I1384" t="s">
        <v>6077</v>
      </c>
      <c r="J1384" t="s">
        <v>596</v>
      </c>
      <c r="K1384" t="s">
        <v>55</v>
      </c>
      <c r="L1384" t="b">
        <v>1</v>
      </c>
      <c r="M1384" t="s">
        <v>6078</v>
      </c>
      <c r="N1384" t="str">
        <f>"344.450176134"</f>
        <v>344.450176134</v>
      </c>
      <c r="P1384" t="b">
        <v>0</v>
      </c>
      <c r="Q1384" t="b">
        <v>0</v>
      </c>
      <c r="S1384" t="str">
        <f>"9788892162457"</f>
        <v>9788892162457</v>
      </c>
      <c r="T1384">
        <v>967538841</v>
      </c>
    </row>
    <row r="1385" spans="1:20" x14ac:dyDescent="0.3">
      <c r="A1385">
        <v>1442491</v>
      </c>
      <c r="B1385" t="s">
        <v>6079</v>
      </c>
      <c r="C1385" t="s">
        <v>6080</v>
      </c>
      <c r="D1385" t="s">
        <v>403</v>
      </c>
      <c r="E1385" t="s">
        <v>403</v>
      </c>
      <c r="F1385">
        <v>2017</v>
      </c>
      <c r="G1385" t="s">
        <v>60</v>
      </c>
      <c r="H1385" t="s">
        <v>6081</v>
      </c>
      <c r="I1385" t="s">
        <v>6082</v>
      </c>
      <c r="J1385" t="s">
        <v>24</v>
      </c>
      <c r="K1385" t="s">
        <v>25</v>
      </c>
      <c r="L1385" t="b">
        <v>1</v>
      </c>
      <c r="M1385" t="s">
        <v>6083</v>
      </c>
      <c r="N1385" t="str">
        <f>"940.531809492"</f>
        <v>940.531809492</v>
      </c>
      <c r="O1385" t="s">
        <v>6084</v>
      </c>
      <c r="P1385" t="b">
        <v>0</v>
      </c>
      <c r="Q1385" t="b">
        <v>0</v>
      </c>
      <c r="R1385" t="str">
        <f>"9789089648488"</f>
        <v>9789089648488</v>
      </c>
      <c r="S1385" t="str">
        <f>"9789048527021"</f>
        <v>9789048527021</v>
      </c>
      <c r="T1385">
        <v>966641408</v>
      </c>
    </row>
    <row r="1386" spans="1:20" x14ac:dyDescent="0.3">
      <c r="A1386">
        <v>1441961</v>
      </c>
      <c r="B1386" t="s">
        <v>6085</v>
      </c>
      <c r="C1386" t="s">
        <v>6086</v>
      </c>
      <c r="D1386" t="s">
        <v>3080</v>
      </c>
      <c r="E1386" t="s">
        <v>3404</v>
      </c>
      <c r="F1386">
        <v>2017</v>
      </c>
      <c r="G1386" t="s">
        <v>3858</v>
      </c>
      <c r="H1386" t="s">
        <v>6087</v>
      </c>
      <c r="J1386" t="s">
        <v>24</v>
      </c>
      <c r="K1386" t="s">
        <v>25</v>
      </c>
      <c r="L1386" t="b">
        <v>1</v>
      </c>
      <c r="M1386" t="s">
        <v>6088</v>
      </c>
      <c r="N1386" t="str">
        <f>"951.06"</f>
        <v>951.06</v>
      </c>
      <c r="P1386" t="b">
        <v>0</v>
      </c>
      <c r="Q1386" t="b">
        <v>0</v>
      </c>
      <c r="R1386" t="str">
        <f>"9781844644742"</f>
        <v>9781844644742</v>
      </c>
      <c r="S1386" t="str">
        <f>"9781844644759"</f>
        <v>9781844644759</v>
      </c>
      <c r="T1386">
        <v>966640481</v>
      </c>
    </row>
    <row r="1387" spans="1:20" x14ac:dyDescent="0.3">
      <c r="A1387">
        <v>1441960</v>
      </c>
      <c r="B1387" t="s">
        <v>6089</v>
      </c>
      <c r="D1387" t="s">
        <v>3080</v>
      </c>
      <c r="E1387" t="s">
        <v>3404</v>
      </c>
      <c r="F1387">
        <v>2017</v>
      </c>
      <c r="G1387" t="s">
        <v>5212</v>
      </c>
      <c r="H1387" t="s">
        <v>6090</v>
      </c>
      <c r="I1387" t="s">
        <v>6091</v>
      </c>
      <c r="J1387" t="s">
        <v>24</v>
      </c>
      <c r="K1387" t="s">
        <v>25</v>
      </c>
      <c r="L1387" t="b">
        <v>1</v>
      </c>
      <c r="M1387" t="s">
        <v>6092</v>
      </c>
      <c r="N1387" t="str">
        <f>"302.232209510904"</f>
        <v>302.232209510904</v>
      </c>
      <c r="O1387" t="s">
        <v>6093</v>
      </c>
      <c r="P1387" t="b">
        <v>0</v>
      </c>
      <c r="Q1387" t="b">
        <v>0</v>
      </c>
      <c r="R1387" t="str">
        <f>"9781844643394"</f>
        <v>9781844643394</v>
      </c>
      <c r="S1387" t="str">
        <f>"9781844643790"</f>
        <v>9781844643790</v>
      </c>
      <c r="T1387">
        <v>966640480</v>
      </c>
    </row>
    <row r="1388" spans="1:20" x14ac:dyDescent="0.3">
      <c r="A1388">
        <v>1441619</v>
      </c>
      <c r="B1388" t="s">
        <v>6094</v>
      </c>
      <c r="D1388" t="s">
        <v>2860</v>
      </c>
      <c r="E1388" t="s">
        <v>2860</v>
      </c>
      <c r="F1388">
        <v>2017</v>
      </c>
      <c r="G1388" t="s">
        <v>6095</v>
      </c>
      <c r="H1388" t="s">
        <v>6096</v>
      </c>
      <c r="I1388" t="s">
        <v>6097</v>
      </c>
      <c r="J1388" t="s">
        <v>24</v>
      </c>
      <c r="K1388" t="s">
        <v>25</v>
      </c>
      <c r="L1388" t="b">
        <v>1</v>
      </c>
      <c r="M1388" t="s">
        <v>6098</v>
      </c>
      <c r="N1388" t="str">
        <f>"612.8042"</f>
        <v>612.8042</v>
      </c>
      <c r="O1388" t="s">
        <v>5870</v>
      </c>
      <c r="P1388" t="b">
        <v>0</v>
      </c>
      <c r="Q1388" t="b">
        <v>0</v>
      </c>
      <c r="R1388" t="str">
        <f>"9781536105940"</f>
        <v>9781536105940</v>
      </c>
      <c r="S1388" t="str">
        <f>"9781536106183"</f>
        <v>9781536106183</v>
      </c>
      <c r="T1388">
        <v>966445411</v>
      </c>
    </row>
    <row r="1389" spans="1:20" x14ac:dyDescent="0.3">
      <c r="A1389">
        <v>1441561</v>
      </c>
      <c r="B1389" t="s">
        <v>6099</v>
      </c>
      <c r="C1389" t="s">
        <v>6100</v>
      </c>
      <c r="D1389" t="s">
        <v>2860</v>
      </c>
      <c r="E1389" t="s">
        <v>2860</v>
      </c>
      <c r="F1389">
        <v>2017</v>
      </c>
      <c r="G1389" t="s">
        <v>3312</v>
      </c>
      <c r="H1389" t="s">
        <v>6101</v>
      </c>
      <c r="I1389" t="s">
        <v>6102</v>
      </c>
      <c r="J1389" t="s">
        <v>24</v>
      </c>
      <c r="K1389" t="s">
        <v>25</v>
      </c>
      <c r="L1389" t="b">
        <v>1</v>
      </c>
      <c r="M1389" t="s">
        <v>6103</v>
      </c>
      <c r="N1389" t="str">
        <f>"615.366"</f>
        <v>615.366</v>
      </c>
      <c r="O1389" t="s">
        <v>6104</v>
      </c>
      <c r="P1389" t="b">
        <v>0</v>
      </c>
      <c r="Q1389" t="b">
        <v>0</v>
      </c>
      <c r="R1389" t="str">
        <f>"9781536105544"</f>
        <v>9781536105544</v>
      </c>
      <c r="S1389" t="str">
        <f>"9781536105841"</f>
        <v>9781536105841</v>
      </c>
      <c r="T1389">
        <v>966445393</v>
      </c>
    </row>
    <row r="1390" spans="1:20" x14ac:dyDescent="0.3">
      <c r="A1390">
        <v>1441543</v>
      </c>
      <c r="B1390" t="s">
        <v>6105</v>
      </c>
      <c r="C1390" t="s">
        <v>6106</v>
      </c>
      <c r="D1390" t="s">
        <v>2860</v>
      </c>
      <c r="E1390" t="s">
        <v>2860</v>
      </c>
      <c r="F1390">
        <v>2017</v>
      </c>
      <c r="G1390" t="s">
        <v>2666</v>
      </c>
      <c r="H1390" t="s">
        <v>6107</v>
      </c>
      <c r="I1390" t="s">
        <v>6108</v>
      </c>
      <c r="J1390" t="s">
        <v>24</v>
      </c>
      <c r="K1390" t="s">
        <v>25</v>
      </c>
      <c r="L1390" t="b">
        <v>1</v>
      </c>
      <c r="M1390" t="s">
        <v>6109</v>
      </c>
      <c r="N1390" t="str">
        <f>"616.02/774"</f>
        <v>616.02/774</v>
      </c>
      <c r="O1390" t="s">
        <v>6110</v>
      </c>
      <c r="P1390" t="b">
        <v>0</v>
      </c>
      <c r="Q1390" t="b">
        <v>0</v>
      </c>
      <c r="R1390" t="str">
        <f>"9781634856997"</f>
        <v>9781634856997</v>
      </c>
      <c r="S1390" t="str">
        <f>"9781634857208"</f>
        <v>9781634857208</v>
      </c>
      <c r="T1390">
        <v>972151473</v>
      </c>
    </row>
    <row r="1391" spans="1:20" x14ac:dyDescent="0.3">
      <c r="A1391">
        <v>1441438</v>
      </c>
      <c r="B1391" t="s">
        <v>6111</v>
      </c>
      <c r="C1391" t="s">
        <v>6112</v>
      </c>
      <c r="D1391" t="s">
        <v>6113</v>
      </c>
      <c r="E1391" t="s">
        <v>6113</v>
      </c>
      <c r="F1391">
        <v>2016</v>
      </c>
      <c r="G1391" t="s">
        <v>1013</v>
      </c>
      <c r="H1391" t="s">
        <v>6114</v>
      </c>
      <c r="I1391" t="s">
        <v>6115</v>
      </c>
      <c r="J1391" t="s">
        <v>829</v>
      </c>
      <c r="K1391" t="s">
        <v>55</v>
      </c>
      <c r="L1391" t="b">
        <v>1</v>
      </c>
      <c r="M1391" t="s">
        <v>6116</v>
      </c>
      <c r="N1391" t="str">
        <f>"331.6248"</f>
        <v>331.6248</v>
      </c>
      <c r="O1391" t="s">
        <v>6117</v>
      </c>
      <c r="P1391" t="b">
        <v>0</v>
      </c>
      <c r="R1391" t="str">
        <f>"9789289345491"</f>
        <v>9789289345491</v>
      </c>
      <c r="S1391" t="str">
        <f>"9789289345514"</f>
        <v>9789289345514</v>
      </c>
      <c r="T1391">
        <v>967634129</v>
      </c>
    </row>
    <row r="1392" spans="1:20" x14ac:dyDescent="0.3">
      <c r="A1392">
        <v>1440464</v>
      </c>
      <c r="B1392" t="s">
        <v>6118</v>
      </c>
      <c r="D1392" t="s">
        <v>2860</v>
      </c>
      <c r="E1392" t="s">
        <v>2860</v>
      </c>
      <c r="F1392">
        <v>2017</v>
      </c>
      <c r="G1392" t="s">
        <v>6070</v>
      </c>
      <c r="H1392" t="s">
        <v>6119</v>
      </c>
      <c r="I1392" t="s">
        <v>6120</v>
      </c>
      <c r="J1392" t="s">
        <v>24</v>
      </c>
      <c r="K1392" t="s">
        <v>25</v>
      </c>
      <c r="L1392" t="b">
        <v>1</v>
      </c>
      <c r="M1392" t="s">
        <v>6121</v>
      </c>
      <c r="N1392" t="str">
        <f>"572/.566"</f>
        <v>572/.566</v>
      </c>
      <c r="O1392" t="s">
        <v>6122</v>
      </c>
      <c r="P1392" t="b">
        <v>0</v>
      </c>
      <c r="Q1392" t="b">
        <v>0</v>
      </c>
      <c r="R1392" t="str">
        <f>"9781536106282"</f>
        <v>9781536106282</v>
      </c>
      <c r="S1392" t="str">
        <f>"9781536106558"</f>
        <v>9781536106558</v>
      </c>
      <c r="T1392">
        <v>966429444</v>
      </c>
    </row>
    <row r="1393" spans="1:20" x14ac:dyDescent="0.3">
      <c r="A1393">
        <v>1440458</v>
      </c>
      <c r="B1393" t="s">
        <v>6123</v>
      </c>
      <c r="D1393" t="s">
        <v>2860</v>
      </c>
      <c r="E1393" t="s">
        <v>2860</v>
      </c>
      <c r="F1393">
        <v>2017</v>
      </c>
      <c r="G1393" t="s">
        <v>6070</v>
      </c>
      <c r="H1393" t="s">
        <v>6124</v>
      </c>
      <c r="I1393" t="s">
        <v>6125</v>
      </c>
      <c r="J1393" t="s">
        <v>24</v>
      </c>
      <c r="K1393" t="s">
        <v>25</v>
      </c>
      <c r="L1393" t="b">
        <v>1</v>
      </c>
      <c r="M1393" t="s">
        <v>6126</v>
      </c>
      <c r="N1393" t="str">
        <f>"572/.791"</f>
        <v>572/.791</v>
      </c>
      <c r="O1393" t="s">
        <v>6127</v>
      </c>
      <c r="P1393" t="b">
        <v>0</v>
      </c>
      <c r="Q1393" t="b">
        <v>0</v>
      </c>
      <c r="R1393" t="str">
        <f>"9781536105568"</f>
        <v>9781536105568</v>
      </c>
      <c r="S1393" t="str">
        <f>"9781536105827"</f>
        <v>9781536105827</v>
      </c>
      <c r="T1393">
        <v>966640761</v>
      </c>
    </row>
    <row r="1394" spans="1:20" x14ac:dyDescent="0.3">
      <c r="A1394">
        <v>1440455</v>
      </c>
      <c r="B1394" t="s">
        <v>6128</v>
      </c>
      <c r="C1394" t="s">
        <v>6129</v>
      </c>
      <c r="D1394" t="s">
        <v>2860</v>
      </c>
      <c r="E1394" t="s">
        <v>2860</v>
      </c>
      <c r="F1394">
        <v>2017</v>
      </c>
      <c r="G1394" t="s">
        <v>6130</v>
      </c>
      <c r="H1394" t="s">
        <v>6131</v>
      </c>
      <c r="I1394" t="s">
        <v>6132</v>
      </c>
      <c r="J1394" t="s">
        <v>24</v>
      </c>
      <c r="K1394" t="s">
        <v>25</v>
      </c>
      <c r="L1394" t="b">
        <v>1</v>
      </c>
      <c r="M1394" t="s">
        <v>6133</v>
      </c>
      <c r="N1394" t="str">
        <f>"581.7/22"</f>
        <v>581.7/22</v>
      </c>
      <c r="O1394" t="s">
        <v>5708</v>
      </c>
      <c r="P1394" t="b">
        <v>0</v>
      </c>
      <c r="Q1394" t="b">
        <v>0</v>
      </c>
      <c r="R1394" t="str">
        <f>"9781536105636"</f>
        <v>9781536105636</v>
      </c>
      <c r="S1394" t="str">
        <f>"9781536105698"</f>
        <v>9781536105698</v>
      </c>
      <c r="T1394">
        <v>971045525</v>
      </c>
    </row>
    <row r="1395" spans="1:20" x14ac:dyDescent="0.3">
      <c r="A1395">
        <v>1440448</v>
      </c>
      <c r="B1395" t="s">
        <v>6134</v>
      </c>
      <c r="C1395" t="s">
        <v>6135</v>
      </c>
      <c r="D1395" t="s">
        <v>2860</v>
      </c>
      <c r="E1395" t="s">
        <v>2860</v>
      </c>
      <c r="F1395">
        <v>2017</v>
      </c>
      <c r="G1395" t="s">
        <v>6070</v>
      </c>
      <c r="H1395" t="s">
        <v>6136</v>
      </c>
      <c r="I1395" t="s">
        <v>6137</v>
      </c>
      <c r="J1395" t="s">
        <v>24</v>
      </c>
      <c r="K1395" t="s">
        <v>25</v>
      </c>
      <c r="L1395" t="b">
        <v>1</v>
      </c>
      <c r="M1395" t="s">
        <v>6138</v>
      </c>
      <c r="N1395" t="str">
        <f>"572/.57"</f>
        <v>572/.57</v>
      </c>
      <c r="O1395" t="s">
        <v>5701</v>
      </c>
      <c r="P1395" t="b">
        <v>0</v>
      </c>
      <c r="Q1395" t="b">
        <v>0</v>
      </c>
      <c r="R1395" t="str">
        <f>"9781536105063"</f>
        <v>9781536105063</v>
      </c>
      <c r="S1395" t="str">
        <f>"9781536105308"</f>
        <v>9781536105308</v>
      </c>
      <c r="T1395">
        <v>962140957</v>
      </c>
    </row>
    <row r="1396" spans="1:20" x14ac:dyDescent="0.3">
      <c r="A1396">
        <v>1440445</v>
      </c>
      <c r="B1396" t="s">
        <v>6139</v>
      </c>
      <c r="D1396" t="s">
        <v>2860</v>
      </c>
      <c r="E1396" t="s">
        <v>2860</v>
      </c>
      <c r="F1396">
        <v>2017</v>
      </c>
      <c r="G1396" t="s">
        <v>5704</v>
      </c>
      <c r="H1396" t="s">
        <v>6140</v>
      </c>
      <c r="I1396" t="s">
        <v>6141</v>
      </c>
      <c r="J1396" t="s">
        <v>24</v>
      </c>
      <c r="K1396" t="s">
        <v>25</v>
      </c>
      <c r="L1396" t="b">
        <v>1</v>
      </c>
      <c r="M1396" t="s">
        <v>6142</v>
      </c>
      <c r="N1396" t="str">
        <f>"577.69"</f>
        <v>577.69</v>
      </c>
      <c r="O1396" t="s">
        <v>6139</v>
      </c>
      <c r="P1396" t="b">
        <v>0</v>
      </c>
      <c r="Q1396" t="b">
        <v>0</v>
      </c>
      <c r="R1396" t="str">
        <f>"9781536104271"</f>
        <v>9781536104271</v>
      </c>
      <c r="S1396" t="str">
        <f>"9781536104394"</f>
        <v>9781536104394</v>
      </c>
      <c r="T1396">
        <v>966429437</v>
      </c>
    </row>
    <row r="1397" spans="1:20" x14ac:dyDescent="0.3">
      <c r="A1397">
        <v>1440030</v>
      </c>
      <c r="B1397" t="s">
        <v>6143</v>
      </c>
      <c r="C1397" t="s">
        <v>6144</v>
      </c>
      <c r="D1397" t="s">
        <v>3716</v>
      </c>
      <c r="E1397" t="s">
        <v>3717</v>
      </c>
      <c r="F1397">
        <v>2017</v>
      </c>
      <c r="G1397" t="s">
        <v>3082</v>
      </c>
      <c r="H1397" t="s">
        <v>6145</v>
      </c>
      <c r="I1397" t="s">
        <v>6146</v>
      </c>
      <c r="J1397" t="s">
        <v>24</v>
      </c>
      <c r="K1397" t="s">
        <v>25</v>
      </c>
      <c r="L1397" t="b">
        <v>1</v>
      </c>
      <c r="M1397" t="s">
        <v>6147</v>
      </c>
      <c r="N1397" t="str">
        <f>"636.089"</f>
        <v>636.089</v>
      </c>
      <c r="O1397" t="s">
        <v>6148</v>
      </c>
      <c r="P1397" t="b">
        <v>0</v>
      </c>
      <c r="Q1397" t="b">
        <v>0</v>
      </c>
      <c r="R1397" t="str">
        <f>"9780905214900"</f>
        <v>9780905214900</v>
      </c>
      <c r="S1397" t="str">
        <f>"9781910443057"</f>
        <v>9781910443057</v>
      </c>
      <c r="T1397">
        <v>987086783</v>
      </c>
    </row>
    <row r="1398" spans="1:20" x14ac:dyDescent="0.3">
      <c r="A1398">
        <v>1438303</v>
      </c>
      <c r="B1398" t="s">
        <v>6149</v>
      </c>
      <c r="C1398" t="s">
        <v>6150</v>
      </c>
      <c r="D1398" t="s">
        <v>45</v>
      </c>
      <c r="E1398" t="s">
        <v>313</v>
      </c>
      <c r="F1398">
        <v>2017</v>
      </c>
      <c r="G1398" t="s">
        <v>314</v>
      </c>
      <c r="H1398" t="s">
        <v>6151</v>
      </c>
      <c r="I1398" t="s">
        <v>6152</v>
      </c>
      <c r="J1398" t="s">
        <v>24</v>
      </c>
      <c r="K1398" t="s">
        <v>269</v>
      </c>
      <c r="L1398" t="b">
        <v>1</v>
      </c>
      <c r="M1398" t="s">
        <v>6153</v>
      </c>
      <c r="N1398" t="str">
        <f>"401/.930721"</f>
        <v>401/.930721</v>
      </c>
      <c r="O1398" t="s">
        <v>6154</v>
      </c>
      <c r="P1398" t="b">
        <v>0</v>
      </c>
      <c r="R1398" t="str">
        <f>"9783110415223"</f>
        <v>9783110415223</v>
      </c>
      <c r="S1398" t="str">
        <f>"9783110415339"</f>
        <v>9783110415339</v>
      </c>
      <c r="T1398">
        <v>964125040</v>
      </c>
    </row>
    <row r="1399" spans="1:20" x14ac:dyDescent="0.3">
      <c r="A1399">
        <v>1437857</v>
      </c>
      <c r="B1399" t="s">
        <v>6155</v>
      </c>
      <c r="C1399" t="s">
        <v>6156</v>
      </c>
      <c r="D1399" t="s">
        <v>6113</v>
      </c>
      <c r="E1399" t="s">
        <v>6113</v>
      </c>
      <c r="F1399">
        <v>2016</v>
      </c>
      <c r="G1399" t="s">
        <v>6048</v>
      </c>
      <c r="H1399" t="s">
        <v>6157</v>
      </c>
      <c r="J1399" t="s">
        <v>829</v>
      </c>
      <c r="K1399" t="s">
        <v>55</v>
      </c>
      <c r="L1399" t="b">
        <v>1</v>
      </c>
      <c r="M1399" t="s">
        <v>6158</v>
      </c>
      <c r="N1399" t="str">
        <f>"325.48"</f>
        <v>325.48</v>
      </c>
      <c r="O1399" t="s">
        <v>6117</v>
      </c>
      <c r="P1399" t="b">
        <v>0</v>
      </c>
      <c r="R1399" t="str">
        <f>"9789289347570"</f>
        <v>9789289347570</v>
      </c>
      <c r="S1399" t="str">
        <f>"9789289347594"</f>
        <v>9789289347594</v>
      </c>
      <c r="T1399">
        <v>965168667</v>
      </c>
    </row>
    <row r="1400" spans="1:20" x14ac:dyDescent="0.3">
      <c r="A1400">
        <v>1437212</v>
      </c>
      <c r="B1400" t="s">
        <v>6159</v>
      </c>
      <c r="D1400" t="s">
        <v>5794</v>
      </c>
      <c r="E1400" t="s">
        <v>5794</v>
      </c>
      <c r="F1400">
        <v>2017</v>
      </c>
      <c r="G1400" t="s">
        <v>73</v>
      </c>
      <c r="H1400" t="s">
        <v>6160</v>
      </c>
      <c r="I1400" t="s">
        <v>6161</v>
      </c>
      <c r="J1400" t="s">
        <v>24</v>
      </c>
      <c r="K1400" t="s">
        <v>269</v>
      </c>
      <c r="L1400" t="b">
        <v>1</v>
      </c>
      <c r="M1400" t="s">
        <v>6162</v>
      </c>
      <c r="N1400" t="str">
        <f>"305.892/4"</f>
        <v>305.892/4</v>
      </c>
      <c r="O1400" t="s">
        <v>6163</v>
      </c>
      <c r="P1400" t="b">
        <v>0</v>
      </c>
      <c r="R1400" t="str">
        <f>"9780813563039"</f>
        <v>9780813563039</v>
      </c>
      <c r="S1400" t="str">
        <f>"9780813563046"</f>
        <v>9780813563046</v>
      </c>
      <c r="T1400">
        <v>965905946</v>
      </c>
    </row>
    <row r="1401" spans="1:20" x14ac:dyDescent="0.3">
      <c r="A1401">
        <v>1434016</v>
      </c>
      <c r="B1401" t="s">
        <v>6164</v>
      </c>
      <c r="D1401" t="s">
        <v>3248</v>
      </c>
      <c r="E1401" t="s">
        <v>3248</v>
      </c>
      <c r="F1401">
        <v>2017</v>
      </c>
      <c r="G1401" t="s">
        <v>1041</v>
      </c>
      <c r="H1401" t="s">
        <v>6165</v>
      </c>
      <c r="I1401" t="s">
        <v>6166</v>
      </c>
      <c r="J1401" t="s">
        <v>24</v>
      </c>
      <c r="K1401" t="s">
        <v>25</v>
      </c>
      <c r="L1401" t="b">
        <v>1</v>
      </c>
      <c r="M1401" t="s">
        <v>6167</v>
      </c>
      <c r="N1401" t="str">
        <f>"810.9/35299162"</f>
        <v>810.9/35299162</v>
      </c>
      <c r="P1401" t="b">
        <v>0</v>
      </c>
      <c r="Q1401" t="b">
        <v>0</v>
      </c>
      <c r="R1401" t="str">
        <f>"9780813229188"</f>
        <v>9780813229188</v>
      </c>
      <c r="S1401" t="str">
        <f>"9780813229195"</f>
        <v>9780813229195</v>
      </c>
      <c r="T1401">
        <v>965825457</v>
      </c>
    </row>
    <row r="1402" spans="1:20" x14ac:dyDescent="0.3">
      <c r="A1402">
        <v>1428850</v>
      </c>
      <c r="B1402" t="s">
        <v>6168</v>
      </c>
      <c r="D1402" t="s">
        <v>3318</v>
      </c>
      <c r="E1402" t="s">
        <v>3318</v>
      </c>
      <c r="F1402">
        <v>2017</v>
      </c>
      <c r="G1402" t="s">
        <v>1920</v>
      </c>
      <c r="H1402" t="s">
        <v>6169</v>
      </c>
      <c r="I1402" t="s">
        <v>6170</v>
      </c>
      <c r="J1402" t="s">
        <v>24</v>
      </c>
      <c r="K1402" t="s">
        <v>269</v>
      </c>
      <c r="L1402" t="b">
        <v>1</v>
      </c>
      <c r="M1402" t="s">
        <v>6171</v>
      </c>
      <c r="N1402" t="str">
        <f>"193"</f>
        <v>193</v>
      </c>
      <c r="P1402" t="b">
        <v>0</v>
      </c>
      <c r="R1402" t="str">
        <f>"9780804798365"</f>
        <v>9780804798365</v>
      </c>
      <c r="S1402" t="str">
        <f>"9781503600744"</f>
        <v>9781503600744</v>
      </c>
      <c r="T1402">
        <v>957264994</v>
      </c>
    </row>
    <row r="1403" spans="1:20" x14ac:dyDescent="0.3">
      <c r="A1403">
        <v>1427927</v>
      </c>
      <c r="B1403" t="s">
        <v>6172</v>
      </c>
      <c r="D1403" t="s">
        <v>5433</v>
      </c>
      <c r="E1403" t="s">
        <v>5434</v>
      </c>
      <c r="F1403">
        <v>2015</v>
      </c>
      <c r="G1403" t="s">
        <v>2879</v>
      </c>
      <c r="H1403" t="s">
        <v>6173</v>
      </c>
      <c r="I1403" t="s">
        <v>6174</v>
      </c>
      <c r="J1403" t="s">
        <v>24</v>
      </c>
      <c r="K1403" t="s">
        <v>25</v>
      </c>
      <c r="L1403" t="b">
        <v>1</v>
      </c>
      <c r="M1403" t="s">
        <v>6175</v>
      </c>
      <c r="N1403" t="str">
        <f>"363.7/3874"</f>
        <v>363.7/3874</v>
      </c>
      <c r="O1403" t="s">
        <v>5438</v>
      </c>
      <c r="P1403" t="b">
        <v>0</v>
      </c>
      <c r="R1403" t="str">
        <f>"9781785608797"</f>
        <v>9781785608797</v>
      </c>
      <c r="S1403" t="str">
        <f>"9781785608780"</f>
        <v>9781785608780</v>
      </c>
      <c r="T1403">
        <v>1051298731</v>
      </c>
    </row>
    <row r="1404" spans="1:20" x14ac:dyDescent="0.3">
      <c r="A1404">
        <v>1427913</v>
      </c>
      <c r="B1404" t="s">
        <v>6176</v>
      </c>
      <c r="C1404" t="s">
        <v>6177</v>
      </c>
      <c r="D1404" t="s">
        <v>5433</v>
      </c>
      <c r="E1404" t="s">
        <v>5434</v>
      </c>
      <c r="F1404">
        <v>2015</v>
      </c>
      <c r="G1404" t="s">
        <v>6178</v>
      </c>
      <c r="H1404" t="s">
        <v>6179</v>
      </c>
      <c r="I1404" t="s">
        <v>6180</v>
      </c>
      <c r="J1404" t="s">
        <v>24</v>
      </c>
      <c r="K1404" t="s">
        <v>25</v>
      </c>
      <c r="L1404" t="b">
        <v>1</v>
      </c>
      <c r="M1404" t="s">
        <v>6181</v>
      </c>
      <c r="N1404" t="str">
        <f>"658.20951"</f>
        <v>658.20951</v>
      </c>
      <c r="O1404" t="s">
        <v>5438</v>
      </c>
      <c r="P1404" t="b">
        <v>0</v>
      </c>
      <c r="R1404" t="str">
        <f>"9781785609565"</f>
        <v>9781785609565</v>
      </c>
      <c r="S1404" t="str">
        <f>"9781785609558"</f>
        <v>9781785609558</v>
      </c>
      <c r="T1404">
        <v>1051299348</v>
      </c>
    </row>
    <row r="1405" spans="1:20" x14ac:dyDescent="0.3">
      <c r="A1405">
        <v>1427912</v>
      </c>
      <c r="B1405" t="s">
        <v>6176</v>
      </c>
      <c r="C1405" t="s">
        <v>6182</v>
      </c>
      <c r="D1405" t="s">
        <v>5433</v>
      </c>
      <c r="E1405" t="s">
        <v>5434</v>
      </c>
      <c r="F1405">
        <v>2015</v>
      </c>
      <c r="G1405" t="s">
        <v>2763</v>
      </c>
      <c r="H1405" t="s">
        <v>6183</v>
      </c>
      <c r="I1405" t="s">
        <v>6184</v>
      </c>
      <c r="J1405" t="s">
        <v>24</v>
      </c>
      <c r="K1405" t="s">
        <v>25</v>
      </c>
      <c r="L1405" t="b">
        <v>1</v>
      </c>
      <c r="M1405" t="s">
        <v>5434</v>
      </c>
      <c r="N1405" t="str">
        <f>"338.476240994"</f>
        <v>338.476240994</v>
      </c>
      <c r="O1405" t="s">
        <v>5438</v>
      </c>
      <c r="P1405" t="b">
        <v>0</v>
      </c>
      <c r="R1405" t="str">
        <f>"9781785609541"</f>
        <v>9781785609541</v>
      </c>
      <c r="S1405" t="str">
        <f>"9781785609534"</f>
        <v>9781785609534</v>
      </c>
      <c r="T1405">
        <v>1051299349</v>
      </c>
    </row>
    <row r="1406" spans="1:20" x14ac:dyDescent="0.3">
      <c r="A1406">
        <v>1426601</v>
      </c>
      <c r="B1406" t="s">
        <v>6185</v>
      </c>
      <c r="C1406" t="s">
        <v>6186</v>
      </c>
      <c r="D1406" t="s">
        <v>3445</v>
      </c>
      <c r="E1406" t="s">
        <v>3446</v>
      </c>
      <c r="F1406">
        <v>2017</v>
      </c>
      <c r="G1406" t="s">
        <v>2650</v>
      </c>
      <c r="H1406" t="s">
        <v>3452</v>
      </c>
      <c r="I1406" t="s">
        <v>6187</v>
      </c>
      <c r="J1406" t="s">
        <v>24</v>
      </c>
      <c r="K1406" t="s">
        <v>55</v>
      </c>
      <c r="L1406" t="b">
        <v>1</v>
      </c>
      <c r="M1406" t="s">
        <v>6188</v>
      </c>
      <c r="N1406" t="str">
        <f>"658.3124"</f>
        <v>658.3124</v>
      </c>
      <c r="P1406" t="b">
        <v>0</v>
      </c>
      <c r="Q1406" t="b">
        <v>0</v>
      </c>
      <c r="R1406" t="str">
        <f>"9781562869946"</f>
        <v>9781562869946</v>
      </c>
      <c r="S1406" t="str">
        <f>"9781562861087"</f>
        <v>9781562861087</v>
      </c>
      <c r="T1406">
        <v>964526594</v>
      </c>
    </row>
    <row r="1407" spans="1:20" x14ac:dyDescent="0.3">
      <c r="A1407">
        <v>1424330</v>
      </c>
      <c r="B1407" t="s">
        <v>6189</v>
      </c>
      <c r="D1407" t="s">
        <v>808</v>
      </c>
      <c r="E1407" t="s">
        <v>808</v>
      </c>
      <c r="F1407">
        <v>2016</v>
      </c>
      <c r="G1407" t="s">
        <v>6190</v>
      </c>
      <c r="H1407" t="s">
        <v>6191</v>
      </c>
      <c r="I1407" t="s">
        <v>6192</v>
      </c>
      <c r="J1407" t="s">
        <v>24</v>
      </c>
      <c r="K1407" t="s">
        <v>25</v>
      </c>
      <c r="L1407" t="b">
        <v>1</v>
      </c>
      <c r="M1407" t="s">
        <v>6193</v>
      </c>
      <c r="N1407" t="str">
        <f>"520.89"</f>
        <v>520.89</v>
      </c>
      <c r="O1407" t="s">
        <v>6194</v>
      </c>
      <c r="P1407" t="b">
        <v>0</v>
      </c>
      <c r="Q1407" t="b">
        <v>1</v>
      </c>
      <c r="R1407" t="str">
        <f>"9780748649105"</f>
        <v>9780748649105</v>
      </c>
      <c r="S1407" t="str">
        <f>"9780748649112"</f>
        <v>9780748649112</v>
      </c>
      <c r="T1407">
        <v>963677099</v>
      </c>
    </row>
    <row r="1408" spans="1:20" x14ac:dyDescent="0.3">
      <c r="A1408">
        <v>1424312</v>
      </c>
      <c r="B1408" t="s">
        <v>6195</v>
      </c>
      <c r="C1408" t="s">
        <v>6196</v>
      </c>
      <c r="D1408" t="s">
        <v>808</v>
      </c>
      <c r="E1408" t="s">
        <v>808</v>
      </c>
      <c r="F1408">
        <v>2016</v>
      </c>
      <c r="G1408" t="s">
        <v>2798</v>
      </c>
      <c r="H1408" t="s">
        <v>6197</v>
      </c>
      <c r="I1408" t="s">
        <v>6198</v>
      </c>
      <c r="J1408" t="s">
        <v>24</v>
      </c>
      <c r="K1408" t="s">
        <v>25</v>
      </c>
      <c r="L1408" t="b">
        <v>1</v>
      </c>
      <c r="M1408" t="s">
        <v>6199</v>
      </c>
      <c r="N1408" t="str">
        <f>"320.540947"</f>
        <v>320.540947</v>
      </c>
      <c r="P1408" t="b">
        <v>0</v>
      </c>
      <c r="Q1408" t="b">
        <v>1</v>
      </c>
      <c r="R1408" t="str">
        <f>"9781474410427"</f>
        <v>9781474410427</v>
      </c>
      <c r="S1408" t="str">
        <f>"9781474410434"</f>
        <v>9781474410434</v>
      </c>
      <c r="T1408">
        <v>945446430</v>
      </c>
    </row>
    <row r="1409" spans="1:20" x14ac:dyDescent="0.3">
      <c r="A1409">
        <v>1424304</v>
      </c>
      <c r="B1409" t="s">
        <v>6200</v>
      </c>
      <c r="C1409" t="s">
        <v>6201</v>
      </c>
      <c r="D1409" t="s">
        <v>808</v>
      </c>
      <c r="E1409" t="s">
        <v>809</v>
      </c>
      <c r="F1409">
        <v>2016</v>
      </c>
      <c r="G1409" t="s">
        <v>2343</v>
      </c>
      <c r="H1409" t="s">
        <v>6202</v>
      </c>
      <c r="I1409" t="s">
        <v>6203</v>
      </c>
      <c r="J1409" t="s">
        <v>24</v>
      </c>
      <c r="K1409" t="s">
        <v>25</v>
      </c>
      <c r="L1409" t="b">
        <v>1</v>
      </c>
      <c r="M1409" t="s">
        <v>6204</v>
      </c>
      <c r="N1409" t="str">
        <f>"401.43"</f>
        <v>401.43</v>
      </c>
      <c r="O1409" t="s">
        <v>6205</v>
      </c>
      <c r="P1409" t="b">
        <v>0</v>
      </c>
      <c r="Q1409" t="b">
        <v>1</v>
      </c>
      <c r="R1409" t="str">
        <f>"9780748640447"</f>
        <v>9780748640447</v>
      </c>
      <c r="S1409" t="str">
        <f>"9780748677771"</f>
        <v>9780748677771</v>
      </c>
      <c r="T1409">
        <v>1024245387</v>
      </c>
    </row>
    <row r="1410" spans="1:20" x14ac:dyDescent="0.3">
      <c r="A1410">
        <v>1424276</v>
      </c>
      <c r="B1410" t="s">
        <v>6206</v>
      </c>
      <c r="C1410" t="s">
        <v>6207</v>
      </c>
      <c r="D1410" t="s">
        <v>3088</v>
      </c>
      <c r="E1410" t="s">
        <v>3088</v>
      </c>
      <c r="F1410">
        <v>2017</v>
      </c>
      <c r="G1410" t="s">
        <v>4288</v>
      </c>
      <c r="H1410" t="s">
        <v>6208</v>
      </c>
      <c r="I1410" t="s">
        <v>6209</v>
      </c>
      <c r="J1410" t="s">
        <v>24</v>
      </c>
      <c r="K1410" t="s">
        <v>25</v>
      </c>
      <c r="L1410" t="b">
        <v>1</v>
      </c>
      <c r="M1410" t="s">
        <v>6210</v>
      </c>
      <c r="N1410" t="str">
        <f>"371.2"</f>
        <v>371.2</v>
      </c>
      <c r="O1410" t="s">
        <v>6211</v>
      </c>
      <c r="P1410" t="b">
        <v>0</v>
      </c>
      <c r="Q1410" t="b">
        <v>0</v>
      </c>
      <c r="R1410" t="str">
        <f>"9781681237121"</f>
        <v>9781681237121</v>
      </c>
      <c r="S1410" t="str">
        <f>"9781681237145"</f>
        <v>9781681237145</v>
      </c>
      <c r="T1410">
        <v>964404186</v>
      </c>
    </row>
    <row r="1411" spans="1:20" x14ac:dyDescent="0.3">
      <c r="A1411">
        <v>1424274</v>
      </c>
      <c r="B1411" t="s">
        <v>6212</v>
      </c>
      <c r="C1411" t="s">
        <v>6213</v>
      </c>
      <c r="D1411" t="s">
        <v>3088</v>
      </c>
      <c r="E1411" t="s">
        <v>3088</v>
      </c>
      <c r="F1411">
        <v>2017</v>
      </c>
      <c r="G1411" t="s">
        <v>5806</v>
      </c>
      <c r="H1411" t="s">
        <v>6214</v>
      </c>
      <c r="I1411" t="s">
        <v>6215</v>
      </c>
      <c r="J1411" t="s">
        <v>24</v>
      </c>
      <c r="K1411" t="s">
        <v>25</v>
      </c>
      <c r="L1411" t="b">
        <v>1</v>
      </c>
      <c r="M1411" t="s">
        <v>6216</v>
      </c>
      <c r="N1411" t="str">
        <f>"153.3/5"</f>
        <v>153.3/5</v>
      </c>
      <c r="P1411" t="b">
        <v>0</v>
      </c>
      <c r="Q1411" t="b">
        <v>0</v>
      </c>
      <c r="R1411" t="str">
        <f>"9781681236636"</f>
        <v>9781681236636</v>
      </c>
      <c r="S1411" t="str">
        <f>"9781681236650"</f>
        <v>9781681236650</v>
      </c>
      <c r="T1411">
        <v>969973774</v>
      </c>
    </row>
    <row r="1412" spans="1:20" x14ac:dyDescent="0.3">
      <c r="A1412">
        <v>1423687</v>
      </c>
      <c r="B1412" t="s">
        <v>6217</v>
      </c>
      <c r="C1412" t="s">
        <v>6218</v>
      </c>
      <c r="D1412" t="s">
        <v>5433</v>
      </c>
      <c r="E1412" t="s">
        <v>5434</v>
      </c>
      <c r="F1412">
        <v>2015</v>
      </c>
      <c r="G1412" t="s">
        <v>6219</v>
      </c>
      <c r="H1412" t="s">
        <v>6220</v>
      </c>
      <c r="I1412" t="s">
        <v>6221</v>
      </c>
      <c r="J1412" t="s">
        <v>24</v>
      </c>
      <c r="K1412" t="s">
        <v>25</v>
      </c>
      <c r="L1412" t="b">
        <v>1</v>
      </c>
      <c r="M1412" t="s">
        <v>5434</v>
      </c>
      <c r="N1412" t="str">
        <f>"363.2"</f>
        <v>363.2</v>
      </c>
      <c r="O1412" t="s">
        <v>5438</v>
      </c>
      <c r="P1412" t="b">
        <v>0</v>
      </c>
      <c r="R1412" t="str">
        <f>"9781785608858"</f>
        <v>9781785608858</v>
      </c>
      <c r="S1412" t="str">
        <f>"9781785608841"</f>
        <v>9781785608841</v>
      </c>
      <c r="T1412">
        <v>1051299412</v>
      </c>
    </row>
    <row r="1413" spans="1:20" x14ac:dyDescent="0.3">
      <c r="A1413">
        <v>1423686</v>
      </c>
      <c r="B1413" t="s">
        <v>6222</v>
      </c>
      <c r="D1413" t="s">
        <v>5433</v>
      </c>
      <c r="E1413" t="s">
        <v>5434</v>
      </c>
      <c r="F1413">
        <v>2015</v>
      </c>
      <c r="G1413" t="s">
        <v>5524</v>
      </c>
      <c r="H1413" t="s">
        <v>6223</v>
      </c>
      <c r="I1413" t="s">
        <v>6224</v>
      </c>
      <c r="J1413" t="s">
        <v>24</v>
      </c>
      <c r="K1413" t="s">
        <v>25</v>
      </c>
      <c r="L1413" t="b">
        <v>1</v>
      </c>
      <c r="M1413" t="s">
        <v>5434</v>
      </c>
      <c r="N1413" t="str">
        <f>"659.133"</f>
        <v>659.133</v>
      </c>
      <c r="O1413" t="s">
        <v>5438</v>
      </c>
      <c r="P1413" t="b">
        <v>0</v>
      </c>
      <c r="R1413" t="str">
        <f>"9781785608193"</f>
        <v>9781785608193</v>
      </c>
      <c r="S1413" t="str">
        <f>"9781785608186"</f>
        <v>9781785608186</v>
      </c>
      <c r="T1413">
        <v>1051299201</v>
      </c>
    </row>
    <row r="1414" spans="1:20" x14ac:dyDescent="0.3">
      <c r="A1414">
        <v>1423685</v>
      </c>
      <c r="B1414" t="s">
        <v>6225</v>
      </c>
      <c r="D1414" t="s">
        <v>5433</v>
      </c>
      <c r="E1414" t="s">
        <v>5434</v>
      </c>
      <c r="F1414">
        <v>2015</v>
      </c>
      <c r="G1414" t="s">
        <v>5524</v>
      </c>
      <c r="H1414" t="s">
        <v>6226</v>
      </c>
      <c r="I1414" t="s">
        <v>6227</v>
      </c>
      <c r="J1414" t="s">
        <v>24</v>
      </c>
      <c r="K1414" t="s">
        <v>25</v>
      </c>
      <c r="L1414" t="b">
        <v>1</v>
      </c>
      <c r="M1414" t="s">
        <v>5434</v>
      </c>
      <c r="N1414" t="str">
        <f>"658.8/27"</f>
        <v>658.8/27</v>
      </c>
      <c r="O1414" t="s">
        <v>5438</v>
      </c>
      <c r="P1414" t="b">
        <v>0</v>
      </c>
      <c r="R1414" t="str">
        <f>"9781785608636"</f>
        <v>9781785608636</v>
      </c>
      <c r="S1414" t="str">
        <f>"9781785608629"</f>
        <v>9781785608629</v>
      </c>
      <c r="T1414">
        <v>1051299236</v>
      </c>
    </row>
    <row r="1415" spans="1:20" x14ac:dyDescent="0.3">
      <c r="A1415">
        <v>1423684</v>
      </c>
      <c r="B1415" t="s">
        <v>6228</v>
      </c>
      <c r="D1415" t="s">
        <v>5433</v>
      </c>
      <c r="E1415" t="s">
        <v>5434</v>
      </c>
      <c r="F1415">
        <v>2015</v>
      </c>
      <c r="G1415" t="s">
        <v>6229</v>
      </c>
      <c r="H1415" t="s">
        <v>6230</v>
      </c>
      <c r="I1415" t="s">
        <v>6231</v>
      </c>
      <c r="J1415" t="s">
        <v>24</v>
      </c>
      <c r="K1415" t="s">
        <v>25</v>
      </c>
      <c r="L1415" t="b">
        <v>1</v>
      </c>
      <c r="M1415" t="s">
        <v>5434</v>
      </c>
      <c r="N1415" t="str">
        <f>"647/.068"</f>
        <v>647/.068</v>
      </c>
      <c r="O1415" t="s">
        <v>5438</v>
      </c>
      <c r="P1415" t="b">
        <v>0</v>
      </c>
      <c r="R1415" t="str">
        <f>"9781785608810"</f>
        <v>9781785608810</v>
      </c>
      <c r="S1415" t="str">
        <f>"9781785608803"</f>
        <v>9781785608803</v>
      </c>
      <c r="T1415">
        <v>1051299466</v>
      </c>
    </row>
    <row r="1416" spans="1:20" x14ac:dyDescent="0.3">
      <c r="A1416">
        <v>1423683</v>
      </c>
      <c r="B1416" t="s">
        <v>6232</v>
      </c>
      <c r="C1416" t="s">
        <v>6233</v>
      </c>
      <c r="D1416" t="s">
        <v>5433</v>
      </c>
      <c r="E1416" t="s">
        <v>5434</v>
      </c>
      <c r="F1416">
        <v>2015</v>
      </c>
      <c r="G1416" t="s">
        <v>6234</v>
      </c>
      <c r="H1416" t="s">
        <v>6235</v>
      </c>
      <c r="I1416" t="s">
        <v>6236</v>
      </c>
      <c r="J1416" t="s">
        <v>24</v>
      </c>
      <c r="K1416" t="s">
        <v>25</v>
      </c>
      <c r="L1416" t="b">
        <v>1</v>
      </c>
      <c r="M1416" t="s">
        <v>5434</v>
      </c>
      <c r="N1416" t="str">
        <f>"362.1/0973"</f>
        <v>362.1/0973</v>
      </c>
      <c r="O1416" t="s">
        <v>5438</v>
      </c>
      <c r="P1416" t="b">
        <v>0</v>
      </c>
      <c r="R1416" t="str">
        <f>"9781785608759"</f>
        <v>9781785608759</v>
      </c>
      <c r="S1416" t="str">
        <f>"9781785608742"</f>
        <v>9781785608742</v>
      </c>
      <c r="T1416">
        <v>1051299304</v>
      </c>
    </row>
    <row r="1417" spans="1:20" x14ac:dyDescent="0.3">
      <c r="A1417">
        <v>1423682</v>
      </c>
      <c r="B1417" t="s">
        <v>6237</v>
      </c>
      <c r="D1417" t="s">
        <v>5433</v>
      </c>
      <c r="E1417" t="s">
        <v>5434</v>
      </c>
      <c r="F1417">
        <v>2015</v>
      </c>
      <c r="G1417" t="s">
        <v>6238</v>
      </c>
      <c r="H1417" t="s">
        <v>6239</v>
      </c>
      <c r="I1417" t="s">
        <v>6240</v>
      </c>
      <c r="J1417" t="s">
        <v>24</v>
      </c>
      <c r="K1417" t="s">
        <v>25</v>
      </c>
      <c r="L1417" t="b">
        <v>1</v>
      </c>
      <c r="M1417" t="s">
        <v>5434</v>
      </c>
      <c r="N1417" t="str">
        <f>"363.34"</f>
        <v>363.34</v>
      </c>
      <c r="O1417" t="s">
        <v>5438</v>
      </c>
      <c r="P1417" t="b">
        <v>0</v>
      </c>
      <c r="R1417" t="str">
        <f>"9781785608094"</f>
        <v>9781785608094</v>
      </c>
      <c r="S1417" t="str">
        <f>"9781785608087"</f>
        <v>9781785608087</v>
      </c>
      <c r="T1417">
        <v>1051299355</v>
      </c>
    </row>
    <row r="1418" spans="1:20" x14ac:dyDescent="0.3">
      <c r="A1418">
        <v>1423681</v>
      </c>
      <c r="B1418" t="s">
        <v>6241</v>
      </c>
      <c r="D1418" t="s">
        <v>5433</v>
      </c>
      <c r="E1418" t="s">
        <v>5434</v>
      </c>
      <c r="F1418">
        <v>2015</v>
      </c>
      <c r="G1418" t="s">
        <v>6242</v>
      </c>
      <c r="H1418" t="s">
        <v>6243</v>
      </c>
      <c r="I1418" t="s">
        <v>6244</v>
      </c>
      <c r="J1418" t="s">
        <v>24</v>
      </c>
      <c r="K1418" t="s">
        <v>25</v>
      </c>
      <c r="L1418" t="b">
        <v>1</v>
      </c>
      <c r="M1418" t="s">
        <v>5434</v>
      </c>
      <c r="N1418" t="str">
        <f>"658.314"</f>
        <v>658.314</v>
      </c>
      <c r="O1418" t="s">
        <v>5438</v>
      </c>
      <c r="P1418" t="b">
        <v>0</v>
      </c>
      <c r="R1418" t="str">
        <f>"9781785608735"</f>
        <v>9781785608735</v>
      </c>
      <c r="S1418" t="str">
        <f>"9781785608728"</f>
        <v>9781785608728</v>
      </c>
      <c r="T1418">
        <v>1051298732</v>
      </c>
    </row>
    <row r="1419" spans="1:20" x14ac:dyDescent="0.3">
      <c r="A1419">
        <v>1423680</v>
      </c>
      <c r="B1419" t="s">
        <v>6245</v>
      </c>
      <c r="C1419" t="s">
        <v>6246</v>
      </c>
      <c r="D1419" t="s">
        <v>5433</v>
      </c>
      <c r="E1419" t="s">
        <v>5434</v>
      </c>
      <c r="F1419">
        <v>2015</v>
      </c>
      <c r="G1419" t="s">
        <v>3893</v>
      </c>
      <c r="H1419" t="s">
        <v>6247</v>
      </c>
      <c r="J1419" t="s">
        <v>24</v>
      </c>
      <c r="K1419" t="s">
        <v>25</v>
      </c>
      <c r="L1419" t="b">
        <v>1</v>
      </c>
      <c r="M1419" t="s">
        <v>5434</v>
      </c>
      <c r="N1419" t="str">
        <f>"330.973"</f>
        <v>330.973</v>
      </c>
      <c r="O1419" t="s">
        <v>5438</v>
      </c>
      <c r="P1419" t="b">
        <v>0</v>
      </c>
      <c r="R1419" t="str">
        <f>"9781785608896"</f>
        <v>9781785608896</v>
      </c>
      <c r="S1419" t="str">
        <f>"9781785608889"</f>
        <v>9781785608889</v>
      </c>
      <c r="T1419">
        <v>1051299339</v>
      </c>
    </row>
    <row r="1420" spans="1:20" x14ac:dyDescent="0.3">
      <c r="A1420">
        <v>1423679</v>
      </c>
      <c r="B1420" t="s">
        <v>6245</v>
      </c>
      <c r="C1420" t="s">
        <v>6248</v>
      </c>
      <c r="D1420" t="s">
        <v>5433</v>
      </c>
      <c r="E1420" t="s">
        <v>5434</v>
      </c>
      <c r="F1420">
        <v>2015</v>
      </c>
      <c r="G1420" t="s">
        <v>6249</v>
      </c>
      <c r="H1420" t="s">
        <v>6250</v>
      </c>
      <c r="J1420" t="s">
        <v>24</v>
      </c>
      <c r="K1420" t="s">
        <v>25</v>
      </c>
      <c r="L1420" t="b">
        <v>1</v>
      </c>
      <c r="M1420" t="s">
        <v>5434</v>
      </c>
      <c r="N1420" t="str">
        <f>"330.91724"</f>
        <v>330.91724</v>
      </c>
      <c r="O1420" t="s">
        <v>5438</v>
      </c>
      <c r="P1420" t="b">
        <v>0</v>
      </c>
      <c r="R1420" t="str">
        <f>"9781785608872"</f>
        <v>9781785608872</v>
      </c>
      <c r="S1420" t="str">
        <f>"9781785608865"</f>
        <v>9781785608865</v>
      </c>
      <c r="T1420">
        <v>1051299360</v>
      </c>
    </row>
    <row r="1421" spans="1:20" x14ac:dyDescent="0.3">
      <c r="A1421">
        <v>1423678</v>
      </c>
      <c r="B1421" t="s">
        <v>6251</v>
      </c>
      <c r="D1421" t="s">
        <v>5433</v>
      </c>
      <c r="E1421" t="s">
        <v>5434</v>
      </c>
      <c r="F1421">
        <v>2015</v>
      </c>
      <c r="G1421" t="s">
        <v>6252</v>
      </c>
      <c r="H1421" t="s">
        <v>6253</v>
      </c>
      <c r="I1421" t="s">
        <v>6254</v>
      </c>
      <c r="J1421" t="s">
        <v>24</v>
      </c>
      <c r="K1421" t="s">
        <v>25</v>
      </c>
      <c r="L1421" t="b">
        <v>1</v>
      </c>
      <c r="M1421" t="s">
        <v>5434</v>
      </c>
      <c r="N1421" t="str">
        <f>"174.9/657"</f>
        <v>174.9/657</v>
      </c>
      <c r="O1421" t="s">
        <v>5438</v>
      </c>
      <c r="P1421" t="b">
        <v>0</v>
      </c>
      <c r="R1421" t="str">
        <f>"9781785608674"</f>
        <v>9781785608674</v>
      </c>
      <c r="S1421" t="str">
        <f>"9781785608667"</f>
        <v>9781785608667</v>
      </c>
      <c r="T1421">
        <v>1051299465</v>
      </c>
    </row>
    <row r="1422" spans="1:20" x14ac:dyDescent="0.3">
      <c r="A1422">
        <v>1423629</v>
      </c>
      <c r="B1422" t="s">
        <v>6255</v>
      </c>
      <c r="D1422" t="s">
        <v>5433</v>
      </c>
      <c r="E1422" t="s">
        <v>5434</v>
      </c>
      <c r="F1422">
        <v>2016</v>
      </c>
      <c r="G1422" t="s">
        <v>6256</v>
      </c>
      <c r="H1422" t="s">
        <v>6257</v>
      </c>
      <c r="I1422" t="s">
        <v>6258</v>
      </c>
      <c r="J1422" t="s">
        <v>24</v>
      </c>
      <c r="K1422" t="s">
        <v>25</v>
      </c>
      <c r="L1422" t="b">
        <v>1</v>
      </c>
      <c r="M1422" t="s">
        <v>6175</v>
      </c>
      <c r="N1422" t="str">
        <f>"658.7"</f>
        <v>658.7</v>
      </c>
      <c r="O1422" t="s">
        <v>5438</v>
      </c>
      <c r="P1422" t="b">
        <v>0</v>
      </c>
      <c r="R1422" t="str">
        <f>"9781785609046"</f>
        <v>9781785609046</v>
      </c>
      <c r="S1422" t="str">
        <f>"9781785609039"</f>
        <v>9781785609039</v>
      </c>
      <c r="T1422">
        <v>1051299444</v>
      </c>
    </row>
    <row r="1423" spans="1:20" x14ac:dyDescent="0.3">
      <c r="A1423">
        <v>1423628</v>
      </c>
      <c r="B1423" t="s">
        <v>6259</v>
      </c>
      <c r="D1423" t="s">
        <v>5433</v>
      </c>
      <c r="E1423" t="s">
        <v>5434</v>
      </c>
      <c r="F1423">
        <v>2015</v>
      </c>
      <c r="G1423" t="s">
        <v>6260</v>
      </c>
      <c r="H1423" t="s">
        <v>6261</v>
      </c>
      <c r="I1423" t="s">
        <v>6262</v>
      </c>
      <c r="J1423" t="s">
        <v>24</v>
      </c>
      <c r="K1423" t="s">
        <v>25</v>
      </c>
      <c r="L1423" t="b">
        <v>1</v>
      </c>
      <c r="M1423" t="s">
        <v>6175</v>
      </c>
      <c r="N1423" t="str">
        <f>"621.9/88"</f>
        <v>621.9/88</v>
      </c>
      <c r="O1423" t="s">
        <v>5438</v>
      </c>
      <c r="P1423" t="b">
        <v>0</v>
      </c>
      <c r="R1423" t="str">
        <f>"9781785608650"</f>
        <v>9781785608650</v>
      </c>
      <c r="S1423" t="str">
        <f>"9781785608643"</f>
        <v>9781785608643</v>
      </c>
      <c r="T1423">
        <v>1051299445</v>
      </c>
    </row>
    <row r="1424" spans="1:20" x14ac:dyDescent="0.3">
      <c r="A1424">
        <v>1423627</v>
      </c>
      <c r="B1424" t="s">
        <v>6263</v>
      </c>
      <c r="D1424" t="s">
        <v>5433</v>
      </c>
      <c r="E1424" t="s">
        <v>5434</v>
      </c>
      <c r="F1424">
        <v>2015</v>
      </c>
      <c r="G1424" t="s">
        <v>5524</v>
      </c>
      <c r="H1424" t="s">
        <v>6264</v>
      </c>
      <c r="I1424" t="s">
        <v>6265</v>
      </c>
      <c r="J1424" t="s">
        <v>24</v>
      </c>
      <c r="K1424" t="s">
        <v>25</v>
      </c>
      <c r="L1424" t="b">
        <v>1</v>
      </c>
      <c r="M1424" t="s">
        <v>5434</v>
      </c>
      <c r="N1424" t="str">
        <f>"681.761"</f>
        <v>681.761</v>
      </c>
      <c r="O1424" t="s">
        <v>5438</v>
      </c>
      <c r="P1424" t="b">
        <v>0</v>
      </c>
      <c r="R1424" t="str">
        <f>"9781785608834"</f>
        <v>9781785608834</v>
      </c>
      <c r="S1424" t="str">
        <f>"9781785608827"</f>
        <v>9781785608827</v>
      </c>
      <c r="T1424">
        <v>1051299512</v>
      </c>
    </row>
    <row r="1425" spans="1:20" x14ac:dyDescent="0.3">
      <c r="A1425">
        <v>1423598</v>
      </c>
      <c r="B1425" t="s">
        <v>6266</v>
      </c>
      <c r="C1425" t="s">
        <v>6267</v>
      </c>
      <c r="D1425" t="s">
        <v>5433</v>
      </c>
      <c r="E1425" t="s">
        <v>5434</v>
      </c>
      <c r="F1425">
        <v>2017</v>
      </c>
      <c r="G1425" t="s">
        <v>6268</v>
      </c>
      <c r="H1425" t="s">
        <v>6269</v>
      </c>
      <c r="I1425" t="s">
        <v>6270</v>
      </c>
      <c r="J1425" t="s">
        <v>24</v>
      </c>
      <c r="K1425" t="s">
        <v>269</v>
      </c>
      <c r="L1425" t="b">
        <v>1</v>
      </c>
      <c r="M1425" t="s">
        <v>6271</v>
      </c>
      <c r="N1425" t="str">
        <f>"378.19829"</f>
        <v>378.19829</v>
      </c>
      <c r="O1425" t="s">
        <v>6272</v>
      </c>
      <c r="P1425" t="b">
        <v>0</v>
      </c>
      <c r="Q1425" t="b">
        <v>0</v>
      </c>
      <c r="R1425" t="str">
        <f>"9781786357106"</f>
        <v>9781786357106</v>
      </c>
      <c r="S1425" t="str">
        <f>"9781786357090"</f>
        <v>9781786357090</v>
      </c>
      <c r="T1425">
        <v>967224589</v>
      </c>
    </row>
    <row r="1426" spans="1:20" x14ac:dyDescent="0.3">
      <c r="A1426">
        <v>1419162</v>
      </c>
      <c r="B1426" t="s">
        <v>6273</v>
      </c>
      <c r="C1426" t="s">
        <v>6274</v>
      </c>
      <c r="D1426" t="s">
        <v>2860</v>
      </c>
      <c r="E1426" t="s">
        <v>2860</v>
      </c>
      <c r="F1426">
        <v>2017</v>
      </c>
      <c r="G1426" t="s">
        <v>3242</v>
      </c>
      <c r="H1426" t="s">
        <v>6275</v>
      </c>
      <c r="I1426" t="s">
        <v>6276</v>
      </c>
      <c r="J1426" t="s">
        <v>24</v>
      </c>
      <c r="K1426" t="s">
        <v>25</v>
      </c>
      <c r="L1426" t="b">
        <v>1</v>
      </c>
      <c r="M1426" t="s">
        <v>6277</v>
      </c>
      <c r="N1426" t="str">
        <f>"363.739/2"</f>
        <v>363.739/2</v>
      </c>
      <c r="O1426" t="s">
        <v>6278</v>
      </c>
      <c r="P1426" t="b">
        <v>0</v>
      </c>
      <c r="Q1426" t="b">
        <v>0</v>
      </c>
      <c r="R1426" t="str">
        <f>"9781536100518"</f>
        <v>9781536100518</v>
      </c>
      <c r="S1426" t="str">
        <f>"9781536102123"</f>
        <v>9781536102123</v>
      </c>
      <c r="T1426">
        <v>962750927</v>
      </c>
    </row>
    <row r="1427" spans="1:20" x14ac:dyDescent="0.3">
      <c r="A1427">
        <v>1406656</v>
      </c>
      <c r="B1427" t="s">
        <v>6279</v>
      </c>
      <c r="D1427" t="s">
        <v>882</v>
      </c>
      <c r="E1427" t="s">
        <v>883</v>
      </c>
      <c r="F1427">
        <v>1983</v>
      </c>
      <c r="G1427" t="s">
        <v>145</v>
      </c>
      <c r="H1427" t="s">
        <v>6280</v>
      </c>
      <c r="I1427" t="s">
        <v>6281</v>
      </c>
      <c r="J1427" t="s">
        <v>24</v>
      </c>
      <c r="K1427" t="s">
        <v>25</v>
      </c>
      <c r="L1427" t="b">
        <v>1</v>
      </c>
      <c r="M1427" t="s">
        <v>6282</v>
      </c>
      <c r="N1427" t="str">
        <f>"823.8"</f>
        <v>823.8</v>
      </c>
      <c r="P1427" t="b">
        <v>0</v>
      </c>
      <c r="Q1427" t="b">
        <v>0</v>
      </c>
      <c r="R1427" t="str">
        <f>"9781442639904"</f>
        <v>9781442639904</v>
      </c>
      <c r="S1427" t="str">
        <f>"9781442638280"</f>
        <v>9781442638280</v>
      </c>
      <c r="T1427">
        <v>962127603</v>
      </c>
    </row>
    <row r="1428" spans="1:20" x14ac:dyDescent="0.3">
      <c r="A1428">
        <v>1406642</v>
      </c>
      <c r="B1428" t="s">
        <v>6283</v>
      </c>
      <c r="D1428" t="s">
        <v>882</v>
      </c>
      <c r="E1428" t="s">
        <v>883</v>
      </c>
      <c r="F1428">
        <v>1980</v>
      </c>
      <c r="G1428" t="s">
        <v>145</v>
      </c>
      <c r="H1428" t="s">
        <v>6284</v>
      </c>
      <c r="J1428" t="s">
        <v>24</v>
      </c>
      <c r="K1428" t="s">
        <v>25</v>
      </c>
      <c r="L1428" t="b">
        <v>1</v>
      </c>
      <c r="M1428" t="s">
        <v>6285</v>
      </c>
      <c r="N1428" t="str">
        <f>"828/.809"</f>
        <v>828/.809</v>
      </c>
      <c r="P1428" t="b">
        <v>0</v>
      </c>
      <c r="Q1428" t="b">
        <v>0</v>
      </c>
      <c r="R1428" t="str">
        <f>"9781442639799"</f>
        <v>9781442639799</v>
      </c>
      <c r="S1428" t="str">
        <f>"9781442638129"</f>
        <v>9781442638129</v>
      </c>
      <c r="T1428">
        <v>557553269</v>
      </c>
    </row>
    <row r="1429" spans="1:20" x14ac:dyDescent="0.3">
      <c r="A1429">
        <v>1406609</v>
      </c>
      <c r="B1429" t="s">
        <v>6286</v>
      </c>
      <c r="D1429" t="s">
        <v>882</v>
      </c>
      <c r="E1429" t="s">
        <v>883</v>
      </c>
      <c r="F1429">
        <v>1972</v>
      </c>
      <c r="G1429" t="s">
        <v>1325</v>
      </c>
      <c r="H1429" t="s">
        <v>6287</v>
      </c>
      <c r="I1429" t="s">
        <v>5106</v>
      </c>
      <c r="J1429" t="s">
        <v>24</v>
      </c>
      <c r="K1429" t="s">
        <v>25</v>
      </c>
      <c r="L1429" t="b">
        <v>1</v>
      </c>
      <c r="M1429" t="s">
        <v>6288</v>
      </c>
      <c r="N1429" t="str">
        <f>"819.1"</f>
        <v>819.1</v>
      </c>
      <c r="P1429" t="b">
        <v>0</v>
      </c>
      <c r="Q1429" t="b">
        <v>0</v>
      </c>
      <c r="R1429" t="str">
        <f>"9780802061706"</f>
        <v>9780802061706</v>
      </c>
      <c r="S1429" t="str">
        <f>"9781442637818"</f>
        <v>9781442637818</v>
      </c>
      <c r="T1429">
        <v>962125957</v>
      </c>
    </row>
    <row r="1430" spans="1:20" x14ac:dyDescent="0.3">
      <c r="A1430">
        <v>1406592</v>
      </c>
      <c r="B1430" t="s">
        <v>6289</v>
      </c>
      <c r="D1430" t="s">
        <v>882</v>
      </c>
      <c r="E1430" t="s">
        <v>883</v>
      </c>
      <c r="F1430">
        <v>1974</v>
      </c>
      <c r="G1430" t="s">
        <v>136</v>
      </c>
      <c r="H1430" t="s">
        <v>6290</v>
      </c>
      <c r="I1430" t="s">
        <v>6291</v>
      </c>
      <c r="J1430" t="s">
        <v>24</v>
      </c>
      <c r="K1430" t="s">
        <v>25</v>
      </c>
      <c r="L1430" t="b">
        <v>1</v>
      </c>
      <c r="M1430" t="s">
        <v>6292</v>
      </c>
      <c r="N1430" t="str">
        <f>"800"</f>
        <v>800</v>
      </c>
      <c r="P1430" t="b">
        <v>0</v>
      </c>
      <c r="Q1430" t="b">
        <v>0</v>
      </c>
      <c r="R1430" t="str">
        <f>"9781442639331"</f>
        <v>9781442639331</v>
      </c>
      <c r="S1430" t="str">
        <f>"9781442637634"</f>
        <v>9781442637634</v>
      </c>
      <c r="T1430">
        <v>962125447</v>
      </c>
    </row>
    <row r="1431" spans="1:20" x14ac:dyDescent="0.3">
      <c r="A1431">
        <v>1406580</v>
      </c>
      <c r="B1431" t="s">
        <v>6293</v>
      </c>
      <c r="C1431" t="s">
        <v>6294</v>
      </c>
      <c r="D1431" t="s">
        <v>882</v>
      </c>
      <c r="E1431" t="s">
        <v>883</v>
      </c>
      <c r="F1431">
        <v>1979</v>
      </c>
      <c r="G1431" t="s">
        <v>149</v>
      </c>
      <c r="H1431" t="s">
        <v>6295</v>
      </c>
      <c r="J1431" t="s">
        <v>24</v>
      </c>
      <c r="K1431" t="s">
        <v>25</v>
      </c>
      <c r="L1431" t="b">
        <v>1</v>
      </c>
      <c r="M1431" t="s">
        <v>6296</v>
      </c>
      <c r="N1431" t="str">
        <f>"821/.7"</f>
        <v>821/.7</v>
      </c>
      <c r="O1431" t="s">
        <v>6297</v>
      </c>
      <c r="P1431" t="b">
        <v>0</v>
      </c>
      <c r="Q1431" t="b">
        <v>0</v>
      </c>
      <c r="R1431" t="str">
        <f>"9781442639263"</f>
        <v>9781442639263</v>
      </c>
      <c r="S1431" t="str">
        <f>"9781442652958"</f>
        <v>9781442652958</v>
      </c>
      <c r="T1431">
        <v>565561314</v>
      </c>
    </row>
    <row r="1432" spans="1:20" x14ac:dyDescent="0.3">
      <c r="A1432">
        <v>1406579</v>
      </c>
      <c r="B1432" t="s">
        <v>6298</v>
      </c>
      <c r="C1432" t="s">
        <v>6299</v>
      </c>
      <c r="D1432" t="s">
        <v>882</v>
      </c>
      <c r="E1432" t="s">
        <v>883</v>
      </c>
      <c r="F1432">
        <v>1979</v>
      </c>
      <c r="G1432" t="s">
        <v>145</v>
      </c>
      <c r="H1432" t="s">
        <v>6300</v>
      </c>
      <c r="J1432" t="s">
        <v>24</v>
      </c>
      <c r="K1432" t="s">
        <v>25</v>
      </c>
      <c r="L1432" t="b">
        <v>1</v>
      </c>
      <c r="M1432" t="s">
        <v>6301</v>
      </c>
      <c r="N1432" t="str">
        <f>"828/.7/08"</f>
        <v>828/.7/08</v>
      </c>
      <c r="O1432" t="s">
        <v>997</v>
      </c>
      <c r="P1432" t="b">
        <v>0</v>
      </c>
      <c r="Q1432" t="b">
        <v>0</v>
      </c>
      <c r="R1432" t="str">
        <f>"9780802063618"</f>
        <v>9780802063618</v>
      </c>
      <c r="S1432" t="str">
        <f>"9781442652941"</f>
        <v>9781442652941</v>
      </c>
      <c r="T1432">
        <v>654686608</v>
      </c>
    </row>
    <row r="1433" spans="1:20" x14ac:dyDescent="0.3">
      <c r="A1433">
        <v>1406558</v>
      </c>
      <c r="B1433" t="s">
        <v>6302</v>
      </c>
      <c r="C1433" t="s">
        <v>6303</v>
      </c>
      <c r="D1433" t="s">
        <v>882</v>
      </c>
      <c r="E1433" t="s">
        <v>883</v>
      </c>
      <c r="F1433">
        <v>1947</v>
      </c>
      <c r="G1433" t="s">
        <v>145</v>
      </c>
      <c r="H1433" t="s">
        <v>6304</v>
      </c>
      <c r="I1433" t="s">
        <v>6305</v>
      </c>
      <c r="J1433" t="s">
        <v>24</v>
      </c>
      <c r="K1433" t="s">
        <v>25</v>
      </c>
      <c r="L1433" t="b">
        <v>1</v>
      </c>
      <c r="M1433" t="s">
        <v>6306</v>
      </c>
      <c r="N1433" t="str">
        <f>"820.4"</f>
        <v>820.4</v>
      </c>
      <c r="O1433" t="s">
        <v>6297</v>
      </c>
      <c r="P1433" t="b">
        <v>0</v>
      </c>
      <c r="Q1433" t="b">
        <v>0</v>
      </c>
      <c r="R1433" t="str">
        <f>"9781442639096"</f>
        <v>9781442639096</v>
      </c>
      <c r="S1433" t="str">
        <f>"9781442652729"</f>
        <v>9781442652729</v>
      </c>
      <c r="T1433">
        <v>654706798</v>
      </c>
    </row>
    <row r="1434" spans="1:20" x14ac:dyDescent="0.3">
      <c r="A1434">
        <v>1404137</v>
      </c>
      <c r="B1434" t="s">
        <v>6307</v>
      </c>
      <c r="D1434" t="s">
        <v>3088</v>
      </c>
      <c r="E1434" t="s">
        <v>3088</v>
      </c>
      <c r="F1434">
        <v>2017</v>
      </c>
      <c r="G1434" t="s">
        <v>1398</v>
      </c>
      <c r="H1434" t="s">
        <v>6308</v>
      </c>
      <c r="I1434" t="s">
        <v>6309</v>
      </c>
      <c r="J1434" t="s">
        <v>24</v>
      </c>
      <c r="K1434" t="s">
        <v>25</v>
      </c>
      <c r="L1434" t="b">
        <v>1</v>
      </c>
      <c r="M1434" t="s">
        <v>6310</v>
      </c>
      <c r="N1434" t="str">
        <f>"305.809"</f>
        <v>305.809</v>
      </c>
      <c r="O1434" t="s">
        <v>6311</v>
      </c>
      <c r="P1434" t="b">
        <v>0</v>
      </c>
      <c r="Q1434" t="b">
        <v>0</v>
      </c>
      <c r="R1434" t="str">
        <f>"9781681236919"</f>
        <v>9781681236919</v>
      </c>
      <c r="S1434" t="str">
        <f>"9781681236933"</f>
        <v>9781681236933</v>
      </c>
      <c r="T1434">
        <v>964408594</v>
      </c>
    </row>
    <row r="1435" spans="1:20" x14ac:dyDescent="0.3">
      <c r="A1435">
        <v>1404135</v>
      </c>
      <c r="B1435" t="s">
        <v>6312</v>
      </c>
      <c r="D1435" t="s">
        <v>3088</v>
      </c>
      <c r="E1435" t="s">
        <v>3088</v>
      </c>
      <c r="F1435">
        <v>2017</v>
      </c>
      <c r="G1435" t="s">
        <v>3342</v>
      </c>
      <c r="H1435" t="s">
        <v>6313</v>
      </c>
      <c r="I1435" t="s">
        <v>6314</v>
      </c>
      <c r="J1435" t="s">
        <v>24</v>
      </c>
      <c r="K1435" t="s">
        <v>25</v>
      </c>
      <c r="L1435" t="b">
        <v>1</v>
      </c>
      <c r="M1435" t="s">
        <v>6315</v>
      </c>
      <c r="N1435" t="str">
        <f>"370.71/1"</f>
        <v>370.71/1</v>
      </c>
      <c r="O1435" t="s">
        <v>6316</v>
      </c>
      <c r="P1435" t="b">
        <v>0</v>
      </c>
      <c r="Q1435" t="b">
        <v>0</v>
      </c>
      <c r="R1435" t="str">
        <f>"9781681236674"</f>
        <v>9781681236674</v>
      </c>
      <c r="S1435" t="str">
        <f>"9781681236698"</f>
        <v>9781681236698</v>
      </c>
      <c r="T1435">
        <v>958963191</v>
      </c>
    </row>
    <row r="1436" spans="1:20" x14ac:dyDescent="0.3">
      <c r="A1436">
        <v>1393610</v>
      </c>
      <c r="B1436" t="s">
        <v>6317</v>
      </c>
      <c r="C1436" t="s">
        <v>6318</v>
      </c>
      <c r="D1436" t="s">
        <v>6319</v>
      </c>
      <c r="E1436" t="s">
        <v>6319</v>
      </c>
      <c r="F1436">
        <v>2017</v>
      </c>
      <c r="G1436" t="s">
        <v>174</v>
      </c>
      <c r="H1436" t="s">
        <v>6320</v>
      </c>
      <c r="I1436" t="s">
        <v>6321</v>
      </c>
      <c r="J1436" t="s">
        <v>24</v>
      </c>
      <c r="K1436" t="s">
        <v>25</v>
      </c>
      <c r="L1436" t="b">
        <v>1</v>
      </c>
      <c r="M1436" t="s">
        <v>6322</v>
      </c>
      <c r="N1436" t="str">
        <f>"811/.52;B"</f>
        <v>811/.52;B</v>
      </c>
      <c r="P1436" t="b">
        <v>0</v>
      </c>
      <c r="Q1436" t="b">
        <v>1</v>
      </c>
      <c r="R1436" t="str">
        <f>"9781421422619"</f>
        <v>9781421422619</v>
      </c>
      <c r="S1436" t="str">
        <f>"9781421422626"</f>
        <v>9781421422626</v>
      </c>
      <c r="T1436">
        <v>980876527</v>
      </c>
    </row>
    <row r="1437" spans="1:20" x14ac:dyDescent="0.3">
      <c r="A1437">
        <v>1393607</v>
      </c>
      <c r="B1437" t="s">
        <v>6323</v>
      </c>
      <c r="C1437" t="s">
        <v>6324</v>
      </c>
      <c r="D1437" t="s">
        <v>6319</v>
      </c>
      <c r="E1437" t="s">
        <v>6319</v>
      </c>
      <c r="F1437">
        <v>2017</v>
      </c>
      <c r="G1437" t="s">
        <v>305</v>
      </c>
      <c r="H1437" t="s">
        <v>6325</v>
      </c>
      <c r="I1437" t="s">
        <v>6326</v>
      </c>
      <c r="J1437" t="s">
        <v>24</v>
      </c>
      <c r="K1437" t="s">
        <v>25</v>
      </c>
      <c r="L1437" t="b">
        <v>1</v>
      </c>
      <c r="M1437" t="s">
        <v>6327</v>
      </c>
      <c r="N1437" t="str">
        <f>"378.73"</f>
        <v>378.73</v>
      </c>
      <c r="P1437" t="b">
        <v>0</v>
      </c>
      <c r="Q1437" t="b">
        <v>1</v>
      </c>
      <c r="R1437" t="str">
        <f>"9781421422411"</f>
        <v>9781421422411</v>
      </c>
      <c r="S1437" t="str">
        <f>"9781421422428"</f>
        <v>9781421422428</v>
      </c>
      <c r="T1437">
        <v>982122257</v>
      </c>
    </row>
    <row r="1438" spans="1:20" x14ac:dyDescent="0.3">
      <c r="A1438">
        <v>1380239</v>
      </c>
      <c r="B1438" t="s">
        <v>6328</v>
      </c>
      <c r="D1438" t="s">
        <v>3088</v>
      </c>
      <c r="E1438" t="s">
        <v>3088</v>
      </c>
      <c r="F1438">
        <v>2017</v>
      </c>
      <c r="G1438" t="s">
        <v>3342</v>
      </c>
      <c r="H1438" t="s">
        <v>6329</v>
      </c>
      <c r="I1438" t="s">
        <v>6314</v>
      </c>
      <c r="J1438" t="s">
        <v>24</v>
      </c>
      <c r="K1438" t="s">
        <v>25</v>
      </c>
      <c r="L1438" t="b">
        <v>1</v>
      </c>
      <c r="M1438" t="s">
        <v>6330</v>
      </c>
      <c r="N1438" t="str">
        <f>"370.71/1"</f>
        <v>370.71/1</v>
      </c>
      <c r="O1438" t="s">
        <v>6331</v>
      </c>
      <c r="P1438" t="b">
        <v>0</v>
      </c>
      <c r="Q1438" t="b">
        <v>0</v>
      </c>
      <c r="R1438" t="str">
        <f>"9781681236605"</f>
        <v>9781681236605</v>
      </c>
      <c r="S1438" t="str">
        <f>"9781681236629"</f>
        <v>9781681236629</v>
      </c>
      <c r="T1438">
        <v>958963190</v>
      </c>
    </row>
    <row r="1439" spans="1:20" x14ac:dyDescent="0.3">
      <c r="A1439">
        <v>1366092</v>
      </c>
      <c r="B1439" t="s">
        <v>6332</v>
      </c>
      <c r="D1439" t="s">
        <v>3151</v>
      </c>
      <c r="E1439" t="s">
        <v>3152</v>
      </c>
      <c r="F1439">
        <v>2017</v>
      </c>
      <c r="G1439" t="s">
        <v>4288</v>
      </c>
      <c r="H1439" t="s">
        <v>6333</v>
      </c>
      <c r="I1439" t="s">
        <v>6334</v>
      </c>
      <c r="J1439" t="s">
        <v>24</v>
      </c>
      <c r="K1439" t="s">
        <v>25</v>
      </c>
      <c r="L1439" t="b">
        <v>1</v>
      </c>
      <c r="M1439" t="s">
        <v>6335</v>
      </c>
      <c r="N1439" t="str">
        <f>"371.9"</f>
        <v>371.9</v>
      </c>
      <c r="P1439" t="b">
        <v>0</v>
      </c>
      <c r="R1439" t="str">
        <f>"9780398091316"</f>
        <v>9780398091316</v>
      </c>
      <c r="S1439" t="str">
        <f>"9780398091323"</f>
        <v>9780398091323</v>
      </c>
      <c r="T1439">
        <v>960444819</v>
      </c>
    </row>
    <row r="1440" spans="1:20" x14ac:dyDescent="0.3">
      <c r="A1440">
        <v>1359425</v>
      </c>
      <c r="B1440" t="s">
        <v>6336</v>
      </c>
      <c r="C1440" t="s">
        <v>6337</v>
      </c>
      <c r="D1440" t="s">
        <v>3318</v>
      </c>
      <c r="E1440" t="s">
        <v>3318</v>
      </c>
      <c r="F1440">
        <v>2017</v>
      </c>
      <c r="G1440" t="s">
        <v>6338</v>
      </c>
      <c r="H1440" t="s">
        <v>6339</v>
      </c>
      <c r="I1440" t="s">
        <v>6340</v>
      </c>
      <c r="J1440" t="s">
        <v>24</v>
      </c>
      <c r="K1440" t="s">
        <v>269</v>
      </c>
      <c r="L1440" t="b">
        <v>1</v>
      </c>
      <c r="M1440" t="s">
        <v>6341</v>
      </c>
      <c r="N1440" t="str">
        <f>"297.7/709538"</f>
        <v>297.7/709538</v>
      </c>
      <c r="O1440" t="s">
        <v>3322</v>
      </c>
      <c r="P1440" t="b">
        <v>0</v>
      </c>
      <c r="R1440" t="str">
        <f>"9780804798358"</f>
        <v>9780804798358</v>
      </c>
      <c r="S1440" t="str">
        <f>"9781503600270"</f>
        <v>9781503600270</v>
      </c>
      <c r="T1440">
        <v>960048793</v>
      </c>
    </row>
    <row r="1441" spans="1:20" x14ac:dyDescent="0.3">
      <c r="A1441">
        <v>1355834</v>
      </c>
      <c r="B1441" t="s">
        <v>6342</v>
      </c>
      <c r="C1441" t="s">
        <v>6343</v>
      </c>
      <c r="D1441" t="s">
        <v>1466</v>
      </c>
      <c r="E1441" t="s">
        <v>1467</v>
      </c>
      <c r="F1441">
        <v>2017</v>
      </c>
      <c r="G1441" t="s">
        <v>1046</v>
      </c>
      <c r="H1441" t="s">
        <v>6344</v>
      </c>
      <c r="I1441" t="s">
        <v>6345</v>
      </c>
      <c r="J1441" t="s">
        <v>24</v>
      </c>
      <c r="K1441" t="s">
        <v>25</v>
      </c>
      <c r="L1441" t="b">
        <v>1</v>
      </c>
      <c r="M1441" t="s">
        <v>6346</v>
      </c>
      <c r="N1441" t="str">
        <f>"947.0072/02"</f>
        <v>947.0072/02</v>
      </c>
      <c r="O1441" t="s">
        <v>6347</v>
      </c>
      <c r="P1441" t="b">
        <v>0</v>
      </c>
      <c r="R1441" t="str">
        <f>"9789004328501"</f>
        <v>9789004328501</v>
      </c>
      <c r="S1441" t="str">
        <f>"9789004328518"</f>
        <v>9789004328518</v>
      </c>
      <c r="T1441">
        <v>958937221</v>
      </c>
    </row>
    <row r="1442" spans="1:20" x14ac:dyDescent="0.3">
      <c r="A1442">
        <v>1355832</v>
      </c>
      <c r="B1442" t="s">
        <v>6348</v>
      </c>
      <c r="D1442" t="s">
        <v>1466</v>
      </c>
      <c r="E1442" t="s">
        <v>1467</v>
      </c>
      <c r="F1442">
        <v>2017</v>
      </c>
      <c r="G1442" t="s">
        <v>6349</v>
      </c>
      <c r="H1442" t="s">
        <v>6350</v>
      </c>
      <c r="I1442" t="s">
        <v>6351</v>
      </c>
      <c r="J1442" t="s">
        <v>24</v>
      </c>
      <c r="K1442" t="s">
        <v>25</v>
      </c>
      <c r="L1442" t="b">
        <v>1</v>
      </c>
      <c r="M1442" t="s">
        <v>6352</v>
      </c>
      <c r="N1442" t="str">
        <f>"232.092"</f>
        <v>232.092</v>
      </c>
      <c r="O1442" t="s">
        <v>6353</v>
      </c>
      <c r="P1442" t="b">
        <v>0</v>
      </c>
      <c r="R1442" t="str">
        <f>"9789004322394"</f>
        <v>9789004322394</v>
      </c>
      <c r="S1442" t="str">
        <f>"9789004322417"</f>
        <v>9789004322417</v>
      </c>
      <c r="T1442">
        <v>957339771</v>
      </c>
    </row>
    <row r="1443" spans="1:20" x14ac:dyDescent="0.3">
      <c r="A1443">
        <v>1351527</v>
      </c>
      <c r="B1443" t="s">
        <v>6354</v>
      </c>
      <c r="C1443" t="s">
        <v>6355</v>
      </c>
      <c r="D1443" t="s">
        <v>1482</v>
      </c>
      <c r="E1443" t="s">
        <v>1482</v>
      </c>
      <c r="F1443">
        <v>2017</v>
      </c>
      <c r="G1443" t="s">
        <v>6356</v>
      </c>
      <c r="H1443" t="s">
        <v>6357</v>
      </c>
      <c r="I1443" t="s">
        <v>6358</v>
      </c>
      <c r="J1443" t="s">
        <v>24</v>
      </c>
      <c r="K1443" t="s">
        <v>25</v>
      </c>
      <c r="L1443" t="b">
        <v>1</v>
      </c>
      <c r="M1443" t="s">
        <v>6359</v>
      </c>
      <c r="N1443" t="str">
        <f>"327.124100944"</f>
        <v>327.124100944</v>
      </c>
      <c r="P1443" t="b">
        <v>0</v>
      </c>
      <c r="R1443" t="str">
        <f>"9780719090790"</f>
        <v>9780719090790</v>
      </c>
      <c r="S1443" t="str">
        <f>"9781526110473"</f>
        <v>9781526110473</v>
      </c>
      <c r="T1443">
        <v>980781172</v>
      </c>
    </row>
    <row r="1444" spans="1:20" x14ac:dyDescent="0.3">
      <c r="A1444">
        <v>1343291</v>
      </c>
      <c r="B1444" t="s">
        <v>6360</v>
      </c>
      <c r="C1444" t="s">
        <v>6361</v>
      </c>
      <c r="D1444" t="s">
        <v>4536</v>
      </c>
      <c r="E1444" t="s">
        <v>4537</v>
      </c>
      <c r="F1444">
        <v>2017</v>
      </c>
      <c r="G1444" t="s">
        <v>3592</v>
      </c>
      <c r="H1444" t="s">
        <v>6362</v>
      </c>
      <c r="I1444" t="s">
        <v>6363</v>
      </c>
      <c r="J1444" t="s">
        <v>24</v>
      </c>
      <c r="K1444" t="s">
        <v>25</v>
      </c>
      <c r="L1444" t="b">
        <v>1</v>
      </c>
      <c r="M1444" t="s">
        <v>6364</v>
      </c>
      <c r="N1444" t="str">
        <f>"150.195"</f>
        <v>150.195</v>
      </c>
      <c r="O1444" t="s">
        <v>6365</v>
      </c>
      <c r="P1444" t="b">
        <v>0</v>
      </c>
      <c r="R1444" t="str">
        <f>"9781782204664"</f>
        <v>9781782204664</v>
      </c>
      <c r="S1444" t="str">
        <f>"9781782415398"</f>
        <v>9781782415398</v>
      </c>
      <c r="T1444">
        <v>959538760</v>
      </c>
    </row>
    <row r="1445" spans="1:20" x14ac:dyDescent="0.3">
      <c r="A1445">
        <v>1340668</v>
      </c>
      <c r="B1445" t="s">
        <v>6366</v>
      </c>
      <c r="C1445" t="s">
        <v>6367</v>
      </c>
      <c r="D1445" t="s">
        <v>6368</v>
      </c>
      <c r="E1445" t="s">
        <v>6368</v>
      </c>
      <c r="F1445">
        <v>2017</v>
      </c>
      <c r="G1445" t="s">
        <v>6369</v>
      </c>
      <c r="H1445" t="s">
        <v>6370</v>
      </c>
      <c r="I1445" t="s">
        <v>6371</v>
      </c>
      <c r="J1445" t="s">
        <v>24</v>
      </c>
      <c r="K1445" t="s">
        <v>269</v>
      </c>
      <c r="L1445" t="b">
        <v>1</v>
      </c>
      <c r="M1445" t="s">
        <v>6372</v>
      </c>
      <c r="N1445" t="str">
        <f>"615.8/5154"</f>
        <v>615.8/5154</v>
      </c>
      <c r="P1445" t="b">
        <v>0</v>
      </c>
      <c r="R1445" t="str">
        <f>"9781849056304"</f>
        <v>9781849056304</v>
      </c>
      <c r="S1445" t="str">
        <f>"9781784501051"</f>
        <v>9781784501051</v>
      </c>
      <c r="T1445">
        <v>960040928</v>
      </c>
    </row>
    <row r="1446" spans="1:20" x14ac:dyDescent="0.3">
      <c r="A1446">
        <v>1340662</v>
      </c>
      <c r="B1446" t="s">
        <v>6373</v>
      </c>
      <c r="D1446" t="s">
        <v>6368</v>
      </c>
      <c r="E1446" t="s">
        <v>6374</v>
      </c>
      <c r="F1446">
        <v>2017</v>
      </c>
      <c r="G1446" t="s">
        <v>6375</v>
      </c>
      <c r="H1446" t="s">
        <v>6376</v>
      </c>
      <c r="I1446" t="s">
        <v>6377</v>
      </c>
      <c r="J1446" t="s">
        <v>24</v>
      </c>
      <c r="K1446" t="s">
        <v>269</v>
      </c>
      <c r="L1446" t="b">
        <v>1</v>
      </c>
      <c r="M1446" t="s">
        <v>6378</v>
      </c>
      <c r="N1446" t="str">
        <f>"615.8/92"</f>
        <v>615.8/92</v>
      </c>
      <c r="P1446" t="b">
        <v>0</v>
      </c>
      <c r="R1446" t="str">
        <f>"9781848193130"</f>
        <v>9781848193130</v>
      </c>
      <c r="S1446" t="str">
        <f>"9780857012661"</f>
        <v>9780857012661</v>
      </c>
      <c r="T1446">
        <v>960834051</v>
      </c>
    </row>
    <row r="1447" spans="1:20" x14ac:dyDescent="0.3">
      <c r="A1447">
        <v>1335753</v>
      </c>
      <c r="B1447" t="s">
        <v>6379</v>
      </c>
      <c r="C1447" t="s">
        <v>6380</v>
      </c>
      <c r="D1447" t="s">
        <v>2260</v>
      </c>
      <c r="E1447" t="s">
        <v>2260</v>
      </c>
      <c r="F1447">
        <v>1999</v>
      </c>
      <c r="G1447" t="s">
        <v>1278</v>
      </c>
      <c r="H1447" t="s">
        <v>6381</v>
      </c>
      <c r="I1447" t="s">
        <v>6382</v>
      </c>
      <c r="J1447" t="s">
        <v>24</v>
      </c>
      <c r="K1447" t="s">
        <v>25</v>
      </c>
      <c r="L1447" t="b">
        <v>1</v>
      </c>
      <c r="M1447" t="s">
        <v>6383</v>
      </c>
      <c r="N1447" t="str">
        <f>"067/.025"</f>
        <v>067/.025</v>
      </c>
      <c r="P1447" t="b">
        <v>0</v>
      </c>
      <c r="R1447" t="str">
        <f>"9780295977942"</f>
        <v>9780295977942</v>
      </c>
      <c r="S1447" t="str">
        <f>"9780295741277"</f>
        <v>9780295741277</v>
      </c>
      <c r="T1447">
        <v>956659043</v>
      </c>
    </row>
    <row r="1448" spans="1:20" x14ac:dyDescent="0.3">
      <c r="A1448">
        <v>1295449</v>
      </c>
      <c r="B1448" t="s">
        <v>6384</v>
      </c>
      <c r="C1448" t="s">
        <v>6385</v>
      </c>
      <c r="D1448" t="s">
        <v>6386</v>
      </c>
      <c r="E1448" t="s">
        <v>6386</v>
      </c>
      <c r="F1448">
        <v>2016</v>
      </c>
      <c r="G1448" t="s">
        <v>1664</v>
      </c>
      <c r="H1448" t="s">
        <v>6387</v>
      </c>
      <c r="I1448" t="s">
        <v>6388</v>
      </c>
      <c r="J1448" t="s">
        <v>24</v>
      </c>
      <c r="K1448" t="s">
        <v>269</v>
      </c>
      <c r="L1448" t="b">
        <v>1</v>
      </c>
      <c r="M1448" t="s">
        <v>6389</v>
      </c>
      <c r="N1448" t="str">
        <f>"709.73"</f>
        <v>709.73</v>
      </c>
      <c r="P1448" t="b">
        <v>0</v>
      </c>
      <c r="R1448" t="str">
        <f>"9780813939032"</f>
        <v>9780813939032</v>
      </c>
      <c r="S1448" t="str">
        <f>"9780813939049"</f>
        <v>9780813939049</v>
      </c>
      <c r="T1448">
        <v>954732891</v>
      </c>
    </row>
    <row r="1449" spans="1:20" x14ac:dyDescent="0.3">
      <c r="A1449">
        <v>1295448</v>
      </c>
      <c r="B1449" t="s">
        <v>6390</v>
      </c>
      <c r="C1449" t="s">
        <v>6391</v>
      </c>
      <c r="D1449" t="s">
        <v>6386</v>
      </c>
      <c r="E1449" t="s">
        <v>6386</v>
      </c>
      <c r="F1449">
        <v>2016</v>
      </c>
      <c r="G1449" t="s">
        <v>6392</v>
      </c>
      <c r="H1449" t="s">
        <v>6393</v>
      </c>
      <c r="I1449" t="s">
        <v>6394</v>
      </c>
      <c r="J1449" t="s">
        <v>24</v>
      </c>
      <c r="K1449" t="s">
        <v>269</v>
      </c>
      <c r="L1449" t="b">
        <v>1</v>
      </c>
      <c r="M1449" t="s">
        <v>6395</v>
      </c>
      <c r="N1449" t="str">
        <f>"809/.933587294"</f>
        <v>809/.933587294</v>
      </c>
      <c r="O1449" t="s">
        <v>6396</v>
      </c>
      <c r="P1449" t="b">
        <v>0</v>
      </c>
      <c r="R1449" t="str">
        <f>"9780813938936"</f>
        <v>9780813938936</v>
      </c>
      <c r="S1449" t="str">
        <f>"9780813938950"</f>
        <v>9780813938950</v>
      </c>
      <c r="T1449">
        <v>954733738</v>
      </c>
    </row>
    <row r="1450" spans="1:20" x14ac:dyDescent="0.3">
      <c r="A1450">
        <v>1294170</v>
      </c>
      <c r="B1450" t="s">
        <v>6397</v>
      </c>
      <c r="C1450" t="s">
        <v>6398</v>
      </c>
      <c r="D1450" t="s">
        <v>6386</v>
      </c>
      <c r="E1450" t="s">
        <v>6386</v>
      </c>
      <c r="F1450">
        <v>2016</v>
      </c>
      <c r="G1450" t="s">
        <v>993</v>
      </c>
      <c r="H1450" t="s">
        <v>6399</v>
      </c>
      <c r="J1450" t="s">
        <v>24</v>
      </c>
      <c r="K1450" t="s">
        <v>25</v>
      </c>
      <c r="L1450" t="b">
        <v>1</v>
      </c>
      <c r="M1450" t="s">
        <v>6400</v>
      </c>
      <c r="N1450" t="str">
        <f>"306.09729209/033"</f>
        <v>306.09729209/033</v>
      </c>
      <c r="O1450" t="s">
        <v>6401</v>
      </c>
      <c r="P1450" t="b">
        <v>0</v>
      </c>
      <c r="R1450" t="str">
        <f>"9780813938318"</f>
        <v>9780813938318</v>
      </c>
      <c r="S1450" t="str">
        <f>"9780813938325"</f>
        <v>9780813938325</v>
      </c>
      <c r="T1450">
        <v>954481427</v>
      </c>
    </row>
    <row r="1451" spans="1:20" x14ac:dyDescent="0.3">
      <c r="A1451">
        <v>1284636</v>
      </c>
      <c r="B1451" t="s">
        <v>6402</v>
      </c>
      <c r="C1451" t="s">
        <v>6403</v>
      </c>
      <c r="D1451" t="s">
        <v>6386</v>
      </c>
      <c r="E1451" t="s">
        <v>6386</v>
      </c>
      <c r="F1451">
        <v>2016</v>
      </c>
      <c r="G1451" t="s">
        <v>212</v>
      </c>
      <c r="H1451" t="s">
        <v>6404</v>
      </c>
      <c r="I1451" t="s">
        <v>6405</v>
      </c>
      <c r="J1451" t="s">
        <v>24</v>
      </c>
      <c r="K1451" t="s">
        <v>269</v>
      </c>
      <c r="L1451" t="b">
        <v>1</v>
      </c>
      <c r="M1451" t="s">
        <v>6406</v>
      </c>
      <c r="N1451" t="str">
        <f>"782.1026/8"</f>
        <v>782.1026/8</v>
      </c>
      <c r="P1451" t="b">
        <v>0</v>
      </c>
      <c r="R1451" t="str">
        <f>"9780813938677"</f>
        <v>9780813938677</v>
      </c>
      <c r="S1451" t="str">
        <f>"9780813938684"</f>
        <v>9780813938684</v>
      </c>
      <c r="T1451">
        <v>953582262</v>
      </c>
    </row>
    <row r="1452" spans="1:20" x14ac:dyDescent="0.3">
      <c r="A1452">
        <v>1280599</v>
      </c>
      <c r="B1452" t="s">
        <v>6407</v>
      </c>
      <c r="C1452" t="s">
        <v>6408</v>
      </c>
      <c r="D1452" t="s">
        <v>4112</v>
      </c>
      <c r="E1452" t="s">
        <v>4113</v>
      </c>
      <c r="F1452">
        <v>2017</v>
      </c>
      <c r="G1452" t="s">
        <v>6409</v>
      </c>
      <c r="H1452" t="s">
        <v>6410</v>
      </c>
      <c r="I1452" t="s">
        <v>6411</v>
      </c>
      <c r="J1452" t="s">
        <v>24</v>
      </c>
      <c r="K1452" t="s">
        <v>269</v>
      </c>
      <c r="L1452" t="b">
        <v>1</v>
      </c>
      <c r="M1452" t="s">
        <v>6412</v>
      </c>
      <c r="N1452" t="str">
        <f>"370.15"</f>
        <v>370.15</v>
      </c>
      <c r="P1452" t="b">
        <v>0</v>
      </c>
      <c r="R1452" t="str">
        <f>"9780826129383"</f>
        <v>9780826129383</v>
      </c>
      <c r="S1452" t="str">
        <f>"9780826129390"</f>
        <v>9780826129390</v>
      </c>
      <c r="T1452">
        <v>953197613</v>
      </c>
    </row>
    <row r="1453" spans="1:20" x14ac:dyDescent="0.3">
      <c r="A1453">
        <v>1268244</v>
      </c>
      <c r="B1453" t="s">
        <v>6413</v>
      </c>
      <c r="C1453" t="s">
        <v>6414</v>
      </c>
      <c r="D1453" t="s">
        <v>6386</v>
      </c>
      <c r="E1453" t="s">
        <v>6386</v>
      </c>
      <c r="F1453">
        <v>2016</v>
      </c>
      <c r="G1453" t="s">
        <v>2010</v>
      </c>
      <c r="H1453" t="s">
        <v>6415</v>
      </c>
      <c r="I1453" t="s">
        <v>6416</v>
      </c>
      <c r="J1453" t="s">
        <v>24</v>
      </c>
      <c r="K1453" t="s">
        <v>269</v>
      </c>
      <c r="L1453" t="b">
        <v>1</v>
      </c>
      <c r="M1453" t="s">
        <v>6417</v>
      </c>
      <c r="N1453" t="str">
        <f>"364.66092;B"</f>
        <v>364.66092;B</v>
      </c>
      <c r="O1453" t="s">
        <v>6418</v>
      </c>
      <c r="P1453" t="b">
        <v>0</v>
      </c>
      <c r="R1453" t="str">
        <f>"9780813938691"</f>
        <v>9780813938691</v>
      </c>
      <c r="S1453" t="str">
        <f>"9780813938714"</f>
        <v>9780813938714</v>
      </c>
      <c r="T1453">
        <v>950084160</v>
      </c>
    </row>
    <row r="1454" spans="1:20" x14ac:dyDescent="0.3">
      <c r="A1454">
        <v>1260020</v>
      </c>
      <c r="B1454" t="s">
        <v>6419</v>
      </c>
      <c r="C1454" t="s">
        <v>6420</v>
      </c>
      <c r="D1454" t="s">
        <v>1482</v>
      </c>
      <c r="E1454" t="s">
        <v>1482</v>
      </c>
      <c r="F1454">
        <v>2017</v>
      </c>
      <c r="G1454" t="s">
        <v>1501</v>
      </c>
      <c r="H1454" t="s">
        <v>6421</v>
      </c>
      <c r="I1454" t="s">
        <v>6422</v>
      </c>
      <c r="J1454" t="s">
        <v>24</v>
      </c>
      <c r="K1454" t="s">
        <v>269</v>
      </c>
      <c r="L1454" t="b">
        <v>1</v>
      </c>
      <c r="M1454" t="s">
        <v>6423</v>
      </c>
      <c r="N1454" t="str">
        <f>"940.439"</f>
        <v>940.439</v>
      </c>
      <c r="O1454" t="s">
        <v>6424</v>
      </c>
      <c r="P1454" t="b">
        <v>0</v>
      </c>
      <c r="R1454" t="str">
        <f>"9780719090028"</f>
        <v>9780719090028</v>
      </c>
      <c r="S1454" t="str">
        <f>"9781526103390"</f>
        <v>9781526103390</v>
      </c>
      <c r="T1454">
        <v>980781171</v>
      </c>
    </row>
    <row r="1455" spans="1:20" x14ac:dyDescent="0.3">
      <c r="A1455">
        <v>1250723</v>
      </c>
      <c r="B1455" t="s">
        <v>6425</v>
      </c>
      <c r="C1455" t="s">
        <v>6426</v>
      </c>
      <c r="D1455" t="s">
        <v>45</v>
      </c>
      <c r="E1455" t="s">
        <v>45</v>
      </c>
      <c r="F1455">
        <v>2016</v>
      </c>
      <c r="G1455" t="s">
        <v>713</v>
      </c>
      <c r="H1455" t="s">
        <v>6427</v>
      </c>
      <c r="I1455" t="s">
        <v>6428</v>
      </c>
      <c r="J1455" t="s">
        <v>2437</v>
      </c>
      <c r="K1455" t="s">
        <v>25</v>
      </c>
      <c r="L1455" t="b">
        <v>1</v>
      </c>
      <c r="M1455" t="s">
        <v>6429</v>
      </c>
      <c r="N1455" t="str">
        <f>"300"</f>
        <v>300</v>
      </c>
      <c r="O1455" t="s">
        <v>6430</v>
      </c>
      <c r="P1455" t="b">
        <v>0</v>
      </c>
      <c r="R1455" t="str">
        <f>"9783110479553"</f>
        <v>9783110479553</v>
      </c>
      <c r="S1455" t="str">
        <f>"9783110481617"</f>
        <v>9783110481617</v>
      </c>
      <c r="T1455">
        <v>979602404</v>
      </c>
    </row>
    <row r="1456" spans="1:20" x14ac:dyDescent="0.3">
      <c r="A1456">
        <v>1250720</v>
      </c>
      <c r="B1456" t="s">
        <v>6431</v>
      </c>
      <c r="D1456" t="s">
        <v>45</v>
      </c>
      <c r="E1456" t="s">
        <v>45</v>
      </c>
      <c r="F1456">
        <v>2016</v>
      </c>
      <c r="G1456" t="s">
        <v>1817</v>
      </c>
      <c r="J1456" t="s">
        <v>596</v>
      </c>
      <c r="K1456" t="s">
        <v>269</v>
      </c>
      <c r="L1456" t="b">
        <v>1</v>
      </c>
      <c r="M1456" t="s">
        <v>6432</v>
      </c>
      <c r="O1456" t="s">
        <v>6433</v>
      </c>
      <c r="P1456" t="b">
        <v>0</v>
      </c>
      <c r="R1456" t="str">
        <f>"9783110462012"</f>
        <v>9783110462012</v>
      </c>
      <c r="S1456" t="str">
        <f>"9783110466270"</f>
        <v>9783110466270</v>
      </c>
    </row>
    <row r="1457" spans="1:20" x14ac:dyDescent="0.3">
      <c r="A1457">
        <v>1243691</v>
      </c>
      <c r="B1457" t="s">
        <v>6434</v>
      </c>
      <c r="C1457" t="s">
        <v>6435</v>
      </c>
      <c r="D1457" t="s">
        <v>2547</v>
      </c>
      <c r="E1457" t="s">
        <v>2548</v>
      </c>
      <c r="F1457">
        <v>2016</v>
      </c>
      <c r="G1457" t="s">
        <v>1620</v>
      </c>
      <c r="H1457" t="s">
        <v>4426</v>
      </c>
      <c r="I1457" t="s">
        <v>6436</v>
      </c>
      <c r="J1457" t="s">
        <v>596</v>
      </c>
      <c r="K1457" t="s">
        <v>55</v>
      </c>
      <c r="L1457" t="b">
        <v>1</v>
      </c>
      <c r="M1457" t="s">
        <v>6437</v>
      </c>
      <c r="N1457" t="str">
        <f>"345.45"</f>
        <v>345.45</v>
      </c>
      <c r="P1457" t="b">
        <v>0</v>
      </c>
      <c r="Q1457" t="b">
        <v>0</v>
      </c>
      <c r="S1457" t="str">
        <f>"9788892160385"</f>
        <v>9788892160385</v>
      </c>
      <c r="T1457">
        <v>973325216</v>
      </c>
    </row>
    <row r="1458" spans="1:20" x14ac:dyDescent="0.3">
      <c r="A1458">
        <v>1243273</v>
      </c>
      <c r="B1458" t="s">
        <v>6438</v>
      </c>
      <c r="D1458" t="s">
        <v>45</v>
      </c>
      <c r="E1458" t="s">
        <v>45</v>
      </c>
      <c r="F1458">
        <v>2016</v>
      </c>
      <c r="G1458" t="s">
        <v>1920</v>
      </c>
      <c r="H1458" t="s">
        <v>6439</v>
      </c>
      <c r="I1458" t="s">
        <v>6440</v>
      </c>
      <c r="J1458" t="s">
        <v>2437</v>
      </c>
      <c r="K1458" t="s">
        <v>269</v>
      </c>
      <c r="L1458" t="b">
        <v>1</v>
      </c>
      <c r="M1458" t="s">
        <v>6441</v>
      </c>
      <c r="N1458" t="str">
        <f>"301.01"</f>
        <v>301.01</v>
      </c>
      <c r="P1458" t="b">
        <v>0</v>
      </c>
      <c r="R1458" t="str">
        <f>"9783110476163"</f>
        <v>9783110476163</v>
      </c>
      <c r="S1458" t="str">
        <f>"9783110479706"</f>
        <v>9783110479706</v>
      </c>
      <c r="T1458">
        <v>953567054</v>
      </c>
    </row>
    <row r="1459" spans="1:20" x14ac:dyDescent="0.3">
      <c r="A1459">
        <v>1226452</v>
      </c>
      <c r="B1459" t="s">
        <v>6379</v>
      </c>
      <c r="C1459" t="s">
        <v>6380</v>
      </c>
      <c r="D1459" t="s">
        <v>2260</v>
      </c>
      <c r="E1459" t="s">
        <v>2260</v>
      </c>
      <c r="F1459">
        <v>1996</v>
      </c>
      <c r="G1459" t="s">
        <v>1278</v>
      </c>
      <c r="H1459" t="s">
        <v>6442</v>
      </c>
      <c r="I1459" t="s">
        <v>6443</v>
      </c>
      <c r="J1459" t="s">
        <v>24</v>
      </c>
      <c r="K1459" t="s">
        <v>25</v>
      </c>
      <c r="L1459" t="b">
        <v>1</v>
      </c>
      <c r="M1459" t="s">
        <v>6444</v>
      </c>
      <c r="N1459" t="str">
        <f>"067/.025"</f>
        <v>067/.025</v>
      </c>
      <c r="P1459" t="b">
        <v>0</v>
      </c>
      <c r="R1459" t="str">
        <f>"9780295975344"</f>
        <v>9780295975344</v>
      </c>
      <c r="S1459" t="str">
        <f>"9780295999760"</f>
        <v>9780295999760</v>
      </c>
      <c r="T1459">
        <v>947841486</v>
      </c>
    </row>
    <row r="1460" spans="1:20" x14ac:dyDescent="0.3">
      <c r="A1460">
        <v>1226449</v>
      </c>
      <c r="B1460" t="s">
        <v>6445</v>
      </c>
      <c r="C1460" t="s">
        <v>6446</v>
      </c>
      <c r="D1460" t="s">
        <v>2260</v>
      </c>
      <c r="E1460" t="s">
        <v>2260</v>
      </c>
      <c r="F1460">
        <v>1985</v>
      </c>
      <c r="G1460" t="s">
        <v>114</v>
      </c>
      <c r="H1460" t="s">
        <v>6447</v>
      </c>
      <c r="I1460" t="s">
        <v>6448</v>
      </c>
      <c r="J1460" t="s">
        <v>24</v>
      </c>
      <c r="K1460" t="s">
        <v>269</v>
      </c>
      <c r="L1460" t="b">
        <v>1</v>
      </c>
      <c r="M1460" t="s">
        <v>6449</v>
      </c>
      <c r="N1460" t="str">
        <f>"338.7/63498/0924"</f>
        <v>338.7/63498/0924</v>
      </c>
      <c r="P1460" t="b">
        <v>0</v>
      </c>
      <c r="R1460" t="str">
        <f>"9780295962184"</f>
        <v>9780295962184</v>
      </c>
      <c r="S1460" t="str">
        <f>"9780295998138"</f>
        <v>9780295998138</v>
      </c>
      <c r="T1460">
        <v>947837934</v>
      </c>
    </row>
    <row r="1461" spans="1:20" x14ac:dyDescent="0.3">
      <c r="A1461">
        <v>1222497</v>
      </c>
      <c r="B1461" t="s">
        <v>6450</v>
      </c>
      <c r="D1461" t="s">
        <v>6451</v>
      </c>
      <c r="E1461" t="s">
        <v>6451</v>
      </c>
      <c r="F1461">
        <v>2015</v>
      </c>
      <c r="J1461" t="s">
        <v>24</v>
      </c>
      <c r="K1461" t="s">
        <v>25</v>
      </c>
      <c r="L1461" t="b">
        <v>1</v>
      </c>
      <c r="M1461" t="s">
        <v>6452</v>
      </c>
      <c r="P1461" t="b">
        <v>0</v>
      </c>
      <c r="Q1461" t="b">
        <v>0</v>
      </c>
      <c r="R1461" t="str">
        <f>"9781875833030"</f>
        <v>9781875833030</v>
      </c>
      <c r="S1461" t="str">
        <f>"9781875833313"</f>
        <v>9781875833313</v>
      </c>
    </row>
    <row r="1462" spans="1:20" x14ac:dyDescent="0.3">
      <c r="A1462">
        <v>1222492</v>
      </c>
      <c r="B1462" t="s">
        <v>6453</v>
      </c>
      <c r="D1462" t="s">
        <v>6451</v>
      </c>
      <c r="E1462" t="s">
        <v>6451</v>
      </c>
      <c r="F1462">
        <v>2015</v>
      </c>
      <c r="J1462" t="s">
        <v>24</v>
      </c>
      <c r="K1462" t="s">
        <v>25</v>
      </c>
      <c r="L1462" t="b">
        <v>1</v>
      </c>
      <c r="M1462" t="s">
        <v>6454</v>
      </c>
      <c r="P1462" t="b">
        <v>0</v>
      </c>
      <c r="Q1462" t="b">
        <v>0</v>
      </c>
      <c r="R1462" t="str">
        <f>"9781875833078"</f>
        <v>9781875833078</v>
      </c>
      <c r="S1462" t="str">
        <f>"9781875833337"</f>
        <v>9781875833337</v>
      </c>
    </row>
    <row r="1463" spans="1:20" x14ac:dyDescent="0.3">
      <c r="A1463">
        <v>1221974</v>
      </c>
      <c r="B1463" t="s">
        <v>6455</v>
      </c>
      <c r="C1463" t="s">
        <v>6456</v>
      </c>
      <c r="D1463" t="s">
        <v>2260</v>
      </c>
      <c r="E1463" t="s">
        <v>2260</v>
      </c>
      <c r="F1463">
        <v>2001</v>
      </c>
      <c r="G1463" t="s">
        <v>1278</v>
      </c>
      <c r="H1463" t="s">
        <v>6457</v>
      </c>
      <c r="I1463" t="s">
        <v>6458</v>
      </c>
      <c r="J1463" t="s">
        <v>24</v>
      </c>
      <c r="K1463" t="s">
        <v>25</v>
      </c>
      <c r="L1463" t="b">
        <v>1</v>
      </c>
      <c r="M1463" t="s">
        <v>6459</v>
      </c>
      <c r="N1463" t="str">
        <f>"307.1/412/0956"</f>
        <v>307.1/412/0956</v>
      </c>
      <c r="P1463" t="b">
        <v>0</v>
      </c>
      <c r="R1463" t="str">
        <f>"9780295980478"</f>
        <v>9780295980478</v>
      </c>
      <c r="S1463" t="str">
        <f>"9780295999753"</f>
        <v>9780295999753</v>
      </c>
      <c r="T1463">
        <v>946887404</v>
      </c>
    </row>
    <row r="1464" spans="1:20" x14ac:dyDescent="0.3">
      <c r="A1464">
        <v>1221049</v>
      </c>
      <c r="B1464" t="s">
        <v>6460</v>
      </c>
      <c r="C1464" t="s">
        <v>6461</v>
      </c>
      <c r="D1464" t="s">
        <v>6462</v>
      </c>
      <c r="E1464" t="s">
        <v>6463</v>
      </c>
      <c r="F1464">
        <v>2008</v>
      </c>
      <c r="G1464" t="s">
        <v>1050</v>
      </c>
      <c r="H1464" t="s">
        <v>6464</v>
      </c>
      <c r="I1464" t="s">
        <v>6465</v>
      </c>
      <c r="J1464" t="s">
        <v>24</v>
      </c>
      <c r="K1464" t="s">
        <v>269</v>
      </c>
      <c r="L1464" t="b">
        <v>1</v>
      </c>
      <c r="M1464" t="s">
        <v>6466</v>
      </c>
      <c r="N1464" t="str">
        <f>"303.48/251132"</f>
        <v>303.48/251132</v>
      </c>
      <c r="P1464" t="b">
        <v>0</v>
      </c>
      <c r="R1464" t="str">
        <f>"9780761840084"</f>
        <v>9780761840084</v>
      </c>
      <c r="S1464" t="str">
        <f>"9781461681823"</f>
        <v>9781461681823</v>
      </c>
      <c r="T1464">
        <v>946106075</v>
      </c>
    </row>
    <row r="1465" spans="1:20" x14ac:dyDescent="0.3">
      <c r="A1465">
        <v>1220077</v>
      </c>
      <c r="B1465" t="s">
        <v>6467</v>
      </c>
      <c r="C1465" t="s">
        <v>6468</v>
      </c>
      <c r="D1465" t="s">
        <v>6319</v>
      </c>
      <c r="E1465" t="s">
        <v>6319</v>
      </c>
      <c r="F1465">
        <v>2017</v>
      </c>
      <c r="G1465" t="s">
        <v>305</v>
      </c>
      <c r="H1465" t="s">
        <v>6469</v>
      </c>
      <c r="I1465" t="s">
        <v>6470</v>
      </c>
      <c r="J1465" t="s">
        <v>24</v>
      </c>
      <c r="K1465" t="s">
        <v>25</v>
      </c>
      <c r="L1465" t="b">
        <v>1</v>
      </c>
      <c r="M1465" t="s">
        <v>6471</v>
      </c>
      <c r="N1465" t="str">
        <f>"344.73/074"</f>
        <v>344.73/074</v>
      </c>
      <c r="P1465" t="b">
        <v>0</v>
      </c>
      <c r="Q1465" t="b">
        <v>1</v>
      </c>
      <c r="R1465" t="str">
        <f>"9781421421469"</f>
        <v>9781421421469</v>
      </c>
      <c r="S1465" t="str">
        <f>"9781421421476"</f>
        <v>9781421421476</v>
      </c>
      <c r="T1465">
        <v>958280292</v>
      </c>
    </row>
    <row r="1466" spans="1:20" x14ac:dyDescent="0.3">
      <c r="A1466">
        <v>1201610</v>
      </c>
      <c r="B1466" t="s">
        <v>6472</v>
      </c>
      <c r="D1466" t="s">
        <v>45</v>
      </c>
      <c r="E1466" t="s">
        <v>45</v>
      </c>
      <c r="F1466">
        <v>2016</v>
      </c>
      <c r="G1466" t="s">
        <v>6473</v>
      </c>
      <c r="J1466" t="s">
        <v>6474</v>
      </c>
      <c r="K1466" t="s">
        <v>25</v>
      </c>
      <c r="L1466" t="b">
        <v>1</v>
      </c>
      <c r="M1466" t="s">
        <v>6475</v>
      </c>
      <c r="O1466" t="s">
        <v>6476</v>
      </c>
      <c r="P1466" t="b">
        <v>0</v>
      </c>
      <c r="R1466" t="str">
        <f>"9783110333985"</f>
        <v>9783110333985</v>
      </c>
      <c r="S1466" t="str">
        <f>"9783110336627"</f>
        <v>9783110336627</v>
      </c>
    </row>
    <row r="1467" spans="1:20" x14ac:dyDescent="0.3">
      <c r="A1467">
        <v>1135652</v>
      </c>
      <c r="B1467" t="s">
        <v>6477</v>
      </c>
      <c r="C1467" t="s">
        <v>6478</v>
      </c>
      <c r="D1467" t="s">
        <v>423</v>
      </c>
      <c r="E1467" t="s">
        <v>1266</v>
      </c>
      <c r="F1467">
        <v>2013</v>
      </c>
      <c r="G1467" t="s">
        <v>1209</v>
      </c>
      <c r="J1467" t="s">
        <v>24</v>
      </c>
      <c r="K1467" t="s">
        <v>269</v>
      </c>
      <c r="L1467" t="b">
        <v>1</v>
      </c>
      <c r="M1467" t="s">
        <v>6479</v>
      </c>
      <c r="P1467" t="b">
        <v>0</v>
      </c>
      <c r="R1467" t="str">
        <f>"9781841506241"</f>
        <v>9781841506241</v>
      </c>
      <c r="S1467" t="str">
        <f>"9781783200580"</f>
        <v>9781783200580</v>
      </c>
    </row>
    <row r="1468" spans="1:20" x14ac:dyDescent="0.3">
      <c r="A1468">
        <v>1135614</v>
      </c>
      <c r="B1468" t="s">
        <v>6480</v>
      </c>
      <c r="C1468" t="s">
        <v>6481</v>
      </c>
      <c r="D1468" t="s">
        <v>423</v>
      </c>
      <c r="E1468" t="s">
        <v>1266</v>
      </c>
      <c r="F1468">
        <v>2013</v>
      </c>
      <c r="G1468" t="s">
        <v>6482</v>
      </c>
      <c r="J1468" t="s">
        <v>24</v>
      </c>
      <c r="K1468" t="s">
        <v>269</v>
      </c>
      <c r="L1468" t="b">
        <v>1</v>
      </c>
      <c r="M1468" t="s">
        <v>6483</v>
      </c>
      <c r="P1468" t="b">
        <v>0</v>
      </c>
      <c r="R1468" t="str">
        <f>"9781841505084"</f>
        <v>9781841505084</v>
      </c>
      <c r="S1468" t="str">
        <f>"9781783200917"</f>
        <v>9781783200917</v>
      </c>
    </row>
    <row r="1469" spans="1:20" x14ac:dyDescent="0.3">
      <c r="A1469">
        <v>1135613</v>
      </c>
      <c r="B1469" t="s">
        <v>6484</v>
      </c>
      <c r="C1469" t="s">
        <v>6485</v>
      </c>
      <c r="D1469" t="s">
        <v>423</v>
      </c>
      <c r="E1469" t="s">
        <v>1266</v>
      </c>
      <c r="F1469">
        <v>2013</v>
      </c>
      <c r="G1469" t="s">
        <v>6482</v>
      </c>
      <c r="J1469" t="s">
        <v>24</v>
      </c>
      <c r="K1469" t="s">
        <v>269</v>
      </c>
      <c r="L1469" t="b">
        <v>1</v>
      </c>
      <c r="M1469" t="s">
        <v>6486</v>
      </c>
      <c r="P1469" t="b">
        <v>0</v>
      </c>
      <c r="R1469" t="str">
        <f>"9781783200115"</f>
        <v>9781783200115</v>
      </c>
      <c r="S1469" t="str">
        <f>"9781783200894"</f>
        <v>9781783200894</v>
      </c>
    </row>
    <row r="1470" spans="1:20" x14ac:dyDescent="0.3">
      <c r="A1470">
        <v>1135612</v>
      </c>
      <c r="B1470" t="s">
        <v>6487</v>
      </c>
      <c r="C1470" t="s">
        <v>6488</v>
      </c>
      <c r="D1470" t="s">
        <v>423</v>
      </c>
      <c r="E1470" t="s">
        <v>1266</v>
      </c>
      <c r="F1470">
        <v>2013</v>
      </c>
      <c r="G1470" t="s">
        <v>6489</v>
      </c>
      <c r="J1470" t="s">
        <v>24</v>
      </c>
      <c r="K1470" t="s">
        <v>269</v>
      </c>
      <c r="L1470" t="b">
        <v>1</v>
      </c>
      <c r="M1470" t="s">
        <v>6490</v>
      </c>
      <c r="P1470" t="b">
        <v>0</v>
      </c>
      <c r="R1470" t="str">
        <f>"9781783200054"</f>
        <v>9781783200054</v>
      </c>
      <c r="S1470" t="str">
        <f>"9781783200870"</f>
        <v>9781783200870</v>
      </c>
    </row>
    <row r="1471" spans="1:20" x14ac:dyDescent="0.3">
      <c r="A1471">
        <v>1135611</v>
      </c>
      <c r="B1471" t="s">
        <v>6491</v>
      </c>
      <c r="D1471" t="s">
        <v>423</v>
      </c>
      <c r="E1471" t="s">
        <v>1266</v>
      </c>
      <c r="F1471">
        <v>2013</v>
      </c>
      <c r="G1471" t="s">
        <v>6489</v>
      </c>
      <c r="J1471" t="s">
        <v>24</v>
      </c>
      <c r="K1471" t="s">
        <v>269</v>
      </c>
      <c r="L1471" t="b">
        <v>1</v>
      </c>
      <c r="M1471" t="s">
        <v>6492</v>
      </c>
      <c r="P1471" t="b">
        <v>0</v>
      </c>
      <c r="R1471" t="str">
        <f>"9781783200153"</f>
        <v>9781783200153</v>
      </c>
      <c r="S1471" t="str">
        <f>"9781783200832"</f>
        <v>9781783200832</v>
      </c>
    </row>
    <row r="1472" spans="1:20" x14ac:dyDescent="0.3">
      <c r="A1472">
        <v>1135609</v>
      </c>
      <c r="B1472" t="s">
        <v>6493</v>
      </c>
      <c r="C1472" t="s">
        <v>6494</v>
      </c>
      <c r="D1472" t="s">
        <v>423</v>
      </c>
      <c r="E1472" t="s">
        <v>1266</v>
      </c>
      <c r="F1472">
        <v>2013</v>
      </c>
      <c r="G1472" t="s">
        <v>6482</v>
      </c>
      <c r="J1472" t="s">
        <v>24</v>
      </c>
      <c r="K1472" t="s">
        <v>269</v>
      </c>
      <c r="L1472" t="b">
        <v>1</v>
      </c>
      <c r="M1472" t="s">
        <v>6495</v>
      </c>
      <c r="P1472" t="b">
        <v>0</v>
      </c>
      <c r="R1472" t="str">
        <f>"9781841506234"</f>
        <v>9781841506234</v>
      </c>
      <c r="S1472" t="str">
        <f>"9781783200771"</f>
        <v>9781783200771</v>
      </c>
    </row>
    <row r="1473" spans="1:20" x14ac:dyDescent="0.3">
      <c r="A1473">
        <v>1135608</v>
      </c>
      <c r="B1473" t="s">
        <v>6496</v>
      </c>
      <c r="C1473" t="s">
        <v>6497</v>
      </c>
      <c r="D1473" t="s">
        <v>423</v>
      </c>
      <c r="E1473" t="s">
        <v>1266</v>
      </c>
      <c r="F1473">
        <v>2013</v>
      </c>
      <c r="G1473" t="s">
        <v>6489</v>
      </c>
      <c r="J1473" t="s">
        <v>24</v>
      </c>
      <c r="K1473" t="s">
        <v>269</v>
      </c>
      <c r="L1473" t="b">
        <v>1</v>
      </c>
      <c r="M1473" t="s">
        <v>6498</v>
      </c>
      <c r="P1473" t="b">
        <v>0</v>
      </c>
      <c r="R1473" t="str">
        <f>"9781841507149"</f>
        <v>9781841507149</v>
      </c>
      <c r="S1473" t="str">
        <f>"9781783200757"</f>
        <v>9781783200757</v>
      </c>
    </row>
    <row r="1474" spans="1:20" x14ac:dyDescent="0.3">
      <c r="A1474">
        <v>1135607</v>
      </c>
      <c r="B1474" t="s">
        <v>6499</v>
      </c>
      <c r="C1474" t="s">
        <v>6500</v>
      </c>
      <c r="D1474" t="s">
        <v>423</v>
      </c>
      <c r="E1474" t="s">
        <v>1266</v>
      </c>
      <c r="F1474">
        <v>2013</v>
      </c>
      <c r="G1474" t="s">
        <v>6482</v>
      </c>
      <c r="J1474" t="s">
        <v>24</v>
      </c>
      <c r="K1474" t="s">
        <v>269</v>
      </c>
      <c r="L1474" t="b">
        <v>1</v>
      </c>
      <c r="M1474" t="s">
        <v>6501</v>
      </c>
      <c r="P1474" t="b">
        <v>0</v>
      </c>
      <c r="R1474" t="str">
        <f>"9781783200030"</f>
        <v>9781783200030</v>
      </c>
      <c r="S1474" t="str">
        <f>"9781783200634"</f>
        <v>9781783200634</v>
      </c>
    </row>
    <row r="1475" spans="1:20" x14ac:dyDescent="0.3">
      <c r="A1475">
        <v>1135606</v>
      </c>
      <c r="B1475" t="s">
        <v>6502</v>
      </c>
      <c r="C1475" t="s">
        <v>6503</v>
      </c>
      <c r="D1475" t="s">
        <v>423</v>
      </c>
      <c r="E1475" t="s">
        <v>1266</v>
      </c>
      <c r="F1475">
        <v>2013</v>
      </c>
      <c r="G1475" t="s">
        <v>802</v>
      </c>
      <c r="J1475" t="s">
        <v>24</v>
      </c>
      <c r="K1475" t="s">
        <v>269</v>
      </c>
      <c r="L1475" t="b">
        <v>1</v>
      </c>
      <c r="M1475" t="s">
        <v>6504</v>
      </c>
      <c r="P1475" t="b">
        <v>0</v>
      </c>
      <c r="R1475" t="str">
        <f>"9781841505763"</f>
        <v>9781841505763</v>
      </c>
      <c r="S1475" t="str">
        <f>"9781783200610"</f>
        <v>9781783200610</v>
      </c>
    </row>
    <row r="1476" spans="1:20" x14ac:dyDescent="0.3">
      <c r="A1476">
        <v>1107075</v>
      </c>
      <c r="B1476" t="s">
        <v>6505</v>
      </c>
      <c r="C1476" t="s">
        <v>6506</v>
      </c>
      <c r="D1476" t="s">
        <v>2260</v>
      </c>
      <c r="E1476" t="s">
        <v>2260</v>
      </c>
      <c r="F1476">
        <v>1988</v>
      </c>
      <c r="G1476" t="s">
        <v>6507</v>
      </c>
      <c r="H1476" t="s">
        <v>6508</v>
      </c>
      <c r="I1476" t="s">
        <v>6509</v>
      </c>
      <c r="J1476" t="s">
        <v>24</v>
      </c>
      <c r="K1476" t="s">
        <v>25</v>
      </c>
      <c r="L1476" t="b">
        <v>1</v>
      </c>
      <c r="M1476" t="s">
        <v>6510</v>
      </c>
      <c r="N1476" t="str">
        <f>"363.4/1/09797"</f>
        <v>363.4/1/09797</v>
      </c>
      <c r="P1476" t="b">
        <v>0</v>
      </c>
      <c r="R1476" t="str">
        <f>"9780295964669"</f>
        <v>9780295964669</v>
      </c>
      <c r="S1476" t="str">
        <f>"9780295800011"</f>
        <v>9780295800011</v>
      </c>
      <c r="T1476">
        <v>931879565</v>
      </c>
    </row>
    <row r="1477" spans="1:20" x14ac:dyDescent="0.3">
      <c r="A1477">
        <v>1098953</v>
      </c>
      <c r="B1477" t="s">
        <v>6511</v>
      </c>
      <c r="D1477" t="s">
        <v>423</v>
      </c>
      <c r="E1477" t="s">
        <v>6512</v>
      </c>
      <c r="F1477">
        <v>2015</v>
      </c>
      <c r="J1477" t="s">
        <v>24</v>
      </c>
      <c r="K1477" t="s">
        <v>25</v>
      </c>
      <c r="L1477" t="b">
        <v>1</v>
      </c>
      <c r="M1477" t="s">
        <v>6513</v>
      </c>
      <c r="P1477" t="b">
        <v>0</v>
      </c>
      <c r="R1477" t="str">
        <f>"9781849736251"</f>
        <v>9781849736251</v>
      </c>
      <c r="S1477" t="str">
        <f>"9781782621836"</f>
        <v>9781782621836</v>
      </c>
    </row>
    <row r="1478" spans="1:20" x14ac:dyDescent="0.3">
      <c r="A1478">
        <v>1090874</v>
      </c>
      <c r="B1478" t="s">
        <v>6514</v>
      </c>
      <c r="C1478" t="s">
        <v>6515</v>
      </c>
      <c r="D1478" t="s">
        <v>4874</v>
      </c>
      <c r="E1478" t="s">
        <v>6516</v>
      </c>
      <c r="F1478">
        <v>1999</v>
      </c>
      <c r="G1478" t="s">
        <v>2254</v>
      </c>
      <c r="H1478" t="s">
        <v>6517</v>
      </c>
      <c r="I1478" t="s">
        <v>6518</v>
      </c>
      <c r="J1478" t="s">
        <v>24</v>
      </c>
      <c r="K1478" t="s">
        <v>25</v>
      </c>
      <c r="L1478" t="b">
        <v>1</v>
      </c>
      <c r="M1478" t="s">
        <v>6519</v>
      </c>
      <c r="N1478" t="str">
        <f>"364.1/77/0973"</f>
        <v>364.1/77/0973</v>
      </c>
      <c r="O1478" t="s">
        <v>6520</v>
      </c>
      <c r="P1478" t="b">
        <v>0</v>
      </c>
      <c r="R1478" t="str">
        <f>"9781555533885"</f>
        <v>9781555533885</v>
      </c>
      <c r="S1478" t="str">
        <f>"9781555538583"</f>
        <v>9781555538583</v>
      </c>
      <c r="T1478">
        <v>935324057</v>
      </c>
    </row>
    <row r="1479" spans="1:20" x14ac:dyDescent="0.3">
      <c r="A1479">
        <v>1090873</v>
      </c>
      <c r="B1479" t="s">
        <v>6521</v>
      </c>
      <c r="D1479" t="s">
        <v>4874</v>
      </c>
      <c r="E1479" t="s">
        <v>6516</v>
      </c>
      <c r="F1479">
        <v>2000</v>
      </c>
      <c r="G1479" t="s">
        <v>721</v>
      </c>
      <c r="H1479" t="s">
        <v>6522</v>
      </c>
      <c r="I1479" t="s">
        <v>6523</v>
      </c>
      <c r="J1479" t="s">
        <v>24</v>
      </c>
      <c r="K1479" t="s">
        <v>25</v>
      </c>
      <c r="L1479" t="b">
        <v>1</v>
      </c>
      <c r="M1479" t="s">
        <v>6524</v>
      </c>
      <c r="N1479" t="str">
        <f>"333.7082"</f>
        <v>333.7082</v>
      </c>
      <c r="P1479" t="b">
        <v>0</v>
      </c>
      <c r="R1479" t="str">
        <f>"9781555533656"</f>
        <v>9781555533656</v>
      </c>
      <c r="S1479" t="str">
        <f>"9781555538552"</f>
        <v>9781555538552</v>
      </c>
      <c r="T1479">
        <v>935253891</v>
      </c>
    </row>
    <row r="1480" spans="1:20" x14ac:dyDescent="0.3">
      <c r="A1480">
        <v>1059359</v>
      </c>
      <c r="B1480" t="s">
        <v>6525</v>
      </c>
      <c r="C1480" t="s">
        <v>6526</v>
      </c>
      <c r="D1480" t="s">
        <v>4874</v>
      </c>
      <c r="E1480" t="s">
        <v>6516</v>
      </c>
      <c r="F1480">
        <v>2000</v>
      </c>
      <c r="G1480" t="s">
        <v>1620</v>
      </c>
      <c r="H1480" t="s">
        <v>6527</v>
      </c>
      <c r="I1480" t="s">
        <v>6528</v>
      </c>
      <c r="J1480" t="s">
        <v>24</v>
      </c>
      <c r="K1480" t="s">
        <v>25</v>
      </c>
      <c r="L1480" t="b">
        <v>1</v>
      </c>
      <c r="M1480" t="s">
        <v>6529</v>
      </c>
      <c r="N1480" t="str">
        <f>"362.82/928/0973"</f>
        <v>362.82/928/0973</v>
      </c>
      <c r="O1480" t="s">
        <v>6530</v>
      </c>
      <c r="P1480" t="b">
        <v>0</v>
      </c>
      <c r="R1480" t="str">
        <f>"9781555534394"</f>
        <v>9781555534394</v>
      </c>
      <c r="S1480" t="str">
        <f>"9781555538521"</f>
        <v>9781555538521</v>
      </c>
      <c r="T1480">
        <v>925333033</v>
      </c>
    </row>
    <row r="1481" spans="1:20" x14ac:dyDescent="0.3">
      <c r="A1481">
        <v>1059357</v>
      </c>
      <c r="B1481" t="s">
        <v>6531</v>
      </c>
      <c r="C1481" t="s">
        <v>6532</v>
      </c>
      <c r="D1481" t="s">
        <v>4874</v>
      </c>
      <c r="E1481" t="s">
        <v>6533</v>
      </c>
      <c r="F1481">
        <v>2004</v>
      </c>
      <c r="G1481" t="s">
        <v>1102</v>
      </c>
      <c r="H1481" t="s">
        <v>6534</v>
      </c>
      <c r="I1481" t="s">
        <v>6535</v>
      </c>
      <c r="J1481" t="s">
        <v>24</v>
      </c>
      <c r="K1481" t="s">
        <v>25</v>
      </c>
      <c r="L1481" t="b">
        <v>1</v>
      </c>
      <c r="M1481" t="s">
        <v>6536</v>
      </c>
      <c r="N1481" t="str">
        <f>"610/.71/17423"</f>
        <v>610/.71/17423</v>
      </c>
      <c r="P1481" t="b">
        <v>0</v>
      </c>
      <c r="R1481" t="str">
        <f>"9781584653707"</f>
        <v>9781584653707</v>
      </c>
      <c r="S1481" t="str">
        <f>"9781611688726"</f>
        <v>9781611688726</v>
      </c>
      <c r="T1481">
        <v>607063467</v>
      </c>
    </row>
    <row r="1482" spans="1:20" x14ac:dyDescent="0.3">
      <c r="A1482">
        <v>1059308</v>
      </c>
      <c r="B1482" t="s">
        <v>6537</v>
      </c>
      <c r="D1482" t="s">
        <v>4874</v>
      </c>
      <c r="E1482" t="s">
        <v>4888</v>
      </c>
      <c r="F1482">
        <v>2015</v>
      </c>
      <c r="G1482" t="s">
        <v>993</v>
      </c>
      <c r="H1482" t="s">
        <v>6538</v>
      </c>
      <c r="I1482" t="s">
        <v>6539</v>
      </c>
      <c r="J1482" t="s">
        <v>24</v>
      </c>
      <c r="K1482" t="s">
        <v>25</v>
      </c>
      <c r="L1482" t="b">
        <v>1</v>
      </c>
      <c r="M1482" t="s">
        <v>6540</v>
      </c>
      <c r="N1482" t="str">
        <f>"909"</f>
        <v>909</v>
      </c>
      <c r="P1482" t="b">
        <v>0</v>
      </c>
      <c r="R1482" t="str">
        <f>"9781611685404"</f>
        <v>9781611685404</v>
      </c>
      <c r="S1482" t="str">
        <f>"9781611687545"</f>
        <v>9781611687545</v>
      </c>
      <c r="T1482">
        <v>919719627</v>
      </c>
    </row>
    <row r="1483" spans="1:20" x14ac:dyDescent="0.3">
      <c r="A1483">
        <v>1052285</v>
      </c>
      <c r="B1483" t="s">
        <v>6541</v>
      </c>
      <c r="C1483" t="s">
        <v>6542</v>
      </c>
      <c r="D1483" t="s">
        <v>2260</v>
      </c>
      <c r="E1483" t="s">
        <v>2260</v>
      </c>
      <c r="F1483">
        <v>2005</v>
      </c>
      <c r="G1483" t="s">
        <v>1050</v>
      </c>
      <c r="H1483" t="s">
        <v>6543</v>
      </c>
      <c r="I1483" t="s">
        <v>6544</v>
      </c>
      <c r="J1483" t="s">
        <v>24</v>
      </c>
      <c r="K1483" t="s">
        <v>25</v>
      </c>
      <c r="L1483" t="b">
        <v>1</v>
      </c>
      <c r="M1483" t="s">
        <v>6545</v>
      </c>
      <c r="N1483" t="str">
        <f>"333.91/3/095452"</f>
        <v>333.91/3/095452</v>
      </c>
      <c r="O1483" t="s">
        <v>6546</v>
      </c>
      <c r="P1483" t="b">
        <v>0</v>
      </c>
      <c r="R1483" t="str">
        <f>"9780295984919"</f>
        <v>9780295984919</v>
      </c>
      <c r="S1483" t="str">
        <f>"9780295800912"</f>
        <v>9780295800912</v>
      </c>
      <c r="T1483">
        <v>913562623</v>
      </c>
    </row>
    <row r="1484" spans="1:20" x14ac:dyDescent="0.3">
      <c r="A1484">
        <v>1002386</v>
      </c>
      <c r="B1484" t="s">
        <v>6547</v>
      </c>
      <c r="C1484" t="s">
        <v>6548</v>
      </c>
      <c r="D1484" t="s">
        <v>882</v>
      </c>
      <c r="E1484" t="s">
        <v>883</v>
      </c>
      <c r="F1484">
        <v>1976</v>
      </c>
      <c r="G1484" t="s">
        <v>2025</v>
      </c>
      <c r="H1484" t="s">
        <v>6549</v>
      </c>
      <c r="I1484" t="s">
        <v>6550</v>
      </c>
      <c r="J1484" t="s">
        <v>24</v>
      </c>
      <c r="K1484" t="s">
        <v>25</v>
      </c>
      <c r="L1484" t="b">
        <v>1</v>
      </c>
      <c r="M1484" t="s">
        <v>6551</v>
      </c>
      <c r="N1484" t="str">
        <f>"809/.03/3"</f>
        <v>809/.03/3</v>
      </c>
      <c r="P1484" t="b">
        <v>0</v>
      </c>
      <c r="Q1484" t="b">
        <v>0</v>
      </c>
      <c r="R1484" t="str">
        <f>"9781442652286"</f>
        <v>9781442652286</v>
      </c>
      <c r="S1484" t="str">
        <f>"9781442632455"</f>
        <v>9781442632455</v>
      </c>
      <c r="T1484">
        <v>609514504</v>
      </c>
    </row>
    <row r="1485" spans="1:20" x14ac:dyDescent="0.3">
      <c r="A1485">
        <v>1002385</v>
      </c>
      <c r="B1485" t="s">
        <v>6552</v>
      </c>
      <c r="C1485" t="s">
        <v>6553</v>
      </c>
      <c r="D1485" t="s">
        <v>882</v>
      </c>
      <c r="E1485" t="s">
        <v>883</v>
      </c>
      <c r="F1485">
        <v>1973</v>
      </c>
      <c r="G1485" t="s">
        <v>60</v>
      </c>
      <c r="H1485" t="s">
        <v>6554</v>
      </c>
      <c r="I1485" t="s">
        <v>6550</v>
      </c>
      <c r="J1485" t="s">
        <v>24</v>
      </c>
      <c r="K1485" t="s">
        <v>25</v>
      </c>
      <c r="L1485" t="b">
        <v>1</v>
      </c>
      <c r="M1485" t="s">
        <v>6555</v>
      </c>
      <c r="N1485" t="str">
        <f>"809/.03/3;901.9/33"</f>
        <v>809/.03/3;901.9/33</v>
      </c>
      <c r="P1485" t="b">
        <v>0</v>
      </c>
      <c r="Q1485" t="b">
        <v>0</v>
      </c>
      <c r="R1485" t="str">
        <f>"9781442652279"</f>
        <v>9781442652279</v>
      </c>
      <c r="S1485" t="str">
        <f>"9781442632448"</f>
        <v>9781442632448</v>
      </c>
      <c r="T1485">
        <v>587039966</v>
      </c>
    </row>
    <row r="1486" spans="1:20" x14ac:dyDescent="0.3">
      <c r="A1486">
        <v>1002383</v>
      </c>
      <c r="B1486" t="s">
        <v>6556</v>
      </c>
      <c r="C1486" t="s">
        <v>6557</v>
      </c>
      <c r="D1486" t="s">
        <v>882</v>
      </c>
      <c r="E1486" t="s">
        <v>883</v>
      </c>
      <c r="F1486">
        <v>1968</v>
      </c>
      <c r="G1486" t="s">
        <v>145</v>
      </c>
      <c r="H1486" t="s">
        <v>6558</v>
      </c>
      <c r="I1486" t="s">
        <v>6559</v>
      </c>
      <c r="J1486" t="s">
        <v>24</v>
      </c>
      <c r="K1486" t="s">
        <v>25</v>
      </c>
      <c r="L1486" t="b">
        <v>1</v>
      </c>
      <c r="M1486" t="s">
        <v>6560</v>
      </c>
      <c r="N1486" t="str">
        <f>"820.9/005"</f>
        <v>820.9/005</v>
      </c>
      <c r="P1486" t="b">
        <v>0</v>
      </c>
      <c r="Q1486" t="b">
        <v>0</v>
      </c>
      <c r="R1486" t="str">
        <f>"9781442652262"</f>
        <v>9781442652262</v>
      </c>
      <c r="S1486" t="str">
        <f>"9781442632431"</f>
        <v>9781442632431</v>
      </c>
      <c r="T1486">
        <v>587039963</v>
      </c>
    </row>
    <row r="1487" spans="1:20" x14ac:dyDescent="0.3">
      <c r="A1487">
        <v>1002342</v>
      </c>
      <c r="B1487" t="s">
        <v>6561</v>
      </c>
      <c r="C1487" t="s">
        <v>6562</v>
      </c>
      <c r="D1487" t="s">
        <v>882</v>
      </c>
      <c r="E1487" t="s">
        <v>883</v>
      </c>
      <c r="F1487">
        <v>1982</v>
      </c>
      <c r="G1487" t="s">
        <v>2592</v>
      </c>
      <c r="H1487" t="s">
        <v>6563</v>
      </c>
      <c r="I1487" t="s">
        <v>6564</v>
      </c>
      <c r="J1487" t="s">
        <v>24</v>
      </c>
      <c r="K1487" t="s">
        <v>25</v>
      </c>
      <c r="L1487" t="b">
        <v>1</v>
      </c>
      <c r="M1487" t="s">
        <v>6565</v>
      </c>
      <c r="N1487" t="str">
        <f>"362.3/092/4"</f>
        <v>362.3/092/4</v>
      </c>
      <c r="P1487" t="b">
        <v>0</v>
      </c>
      <c r="Q1487" t="b">
        <v>0</v>
      </c>
      <c r="R1487" t="str">
        <f>"9781442652064"</f>
        <v>9781442652064</v>
      </c>
      <c r="S1487" t="str">
        <f>"9781442632196"</f>
        <v>9781442632196</v>
      </c>
      <c r="T1487">
        <v>610183430</v>
      </c>
    </row>
    <row r="1488" spans="1:20" x14ac:dyDescent="0.3">
      <c r="A1488">
        <v>1002312</v>
      </c>
      <c r="B1488" t="s">
        <v>6566</v>
      </c>
      <c r="C1488" t="s">
        <v>6567</v>
      </c>
      <c r="D1488" t="s">
        <v>882</v>
      </c>
      <c r="E1488" t="s">
        <v>883</v>
      </c>
      <c r="F1488">
        <v>1961</v>
      </c>
      <c r="G1488" t="s">
        <v>145</v>
      </c>
      <c r="H1488" t="s">
        <v>6568</v>
      </c>
      <c r="I1488" t="s">
        <v>6569</v>
      </c>
      <c r="J1488" t="s">
        <v>24</v>
      </c>
      <c r="K1488" t="s">
        <v>25</v>
      </c>
      <c r="L1488" t="b">
        <v>1</v>
      </c>
      <c r="M1488" t="s">
        <v>6570</v>
      </c>
      <c r="N1488" t="str">
        <f>"823/.912"</f>
        <v>823/.912</v>
      </c>
      <c r="P1488" t="b">
        <v>0</v>
      </c>
      <c r="Q1488" t="b">
        <v>0</v>
      </c>
      <c r="R1488" t="str">
        <f>"9781442651845"</f>
        <v>9781442651845</v>
      </c>
      <c r="S1488" t="str">
        <f>"9781442633551"</f>
        <v>9781442633551</v>
      </c>
      <c r="T1488">
        <v>945975059</v>
      </c>
    </row>
    <row r="1489" spans="1:20" x14ac:dyDescent="0.3">
      <c r="A1489">
        <v>1002273</v>
      </c>
      <c r="B1489" t="s">
        <v>6571</v>
      </c>
      <c r="D1489" t="s">
        <v>882</v>
      </c>
      <c r="E1489" t="s">
        <v>883</v>
      </c>
      <c r="F1489">
        <v>1976</v>
      </c>
      <c r="G1489" t="s">
        <v>6572</v>
      </c>
      <c r="H1489" t="s">
        <v>6573</v>
      </c>
      <c r="J1489" t="s">
        <v>24</v>
      </c>
      <c r="K1489" t="s">
        <v>25</v>
      </c>
      <c r="L1489" t="b">
        <v>1</v>
      </c>
      <c r="M1489" t="s">
        <v>6574</v>
      </c>
      <c r="N1489" t="str">
        <f>"828.4"</f>
        <v>828.4</v>
      </c>
      <c r="O1489" t="s">
        <v>6575</v>
      </c>
      <c r="P1489" t="b">
        <v>0</v>
      </c>
      <c r="Q1489" t="b">
        <v>0</v>
      </c>
      <c r="R1489" t="str">
        <f>"9780802063069"</f>
        <v>9780802063069</v>
      </c>
      <c r="S1489" t="str">
        <f>"9781442633278"</f>
        <v>9781442633278</v>
      </c>
      <c r="T1489">
        <v>913535335</v>
      </c>
    </row>
    <row r="1490" spans="1:20" x14ac:dyDescent="0.3">
      <c r="A1490">
        <v>1002256</v>
      </c>
      <c r="B1490" t="s">
        <v>6576</v>
      </c>
      <c r="C1490" t="s">
        <v>6577</v>
      </c>
      <c r="D1490" t="s">
        <v>882</v>
      </c>
      <c r="E1490" t="s">
        <v>883</v>
      </c>
      <c r="F1490">
        <v>1976</v>
      </c>
      <c r="G1490" t="s">
        <v>1620</v>
      </c>
      <c r="H1490" t="s">
        <v>6578</v>
      </c>
      <c r="I1490" t="s">
        <v>6579</v>
      </c>
      <c r="J1490" t="s">
        <v>24</v>
      </c>
      <c r="K1490" t="s">
        <v>25</v>
      </c>
      <c r="L1490" t="b">
        <v>1</v>
      </c>
      <c r="M1490" t="s">
        <v>6580</v>
      </c>
      <c r="N1490" t="str">
        <f>"364.1/6/0971"</f>
        <v>364.1/6/0971</v>
      </c>
      <c r="O1490" t="s">
        <v>6581</v>
      </c>
      <c r="P1490" t="b">
        <v>0</v>
      </c>
      <c r="Q1490" t="b">
        <v>0</v>
      </c>
      <c r="R1490" t="str">
        <f>"9780802033345"</f>
        <v>9780802033345</v>
      </c>
      <c r="S1490" t="str">
        <f>"9781442633117"</f>
        <v>9781442633117</v>
      </c>
      <c r="T1490">
        <v>763132493</v>
      </c>
    </row>
    <row r="1491" spans="1:20" x14ac:dyDescent="0.3">
      <c r="A1491">
        <v>1001869</v>
      </c>
      <c r="B1491" t="s">
        <v>6582</v>
      </c>
      <c r="C1491" t="s">
        <v>6583</v>
      </c>
      <c r="D1491" t="s">
        <v>6386</v>
      </c>
      <c r="E1491" t="s">
        <v>6386</v>
      </c>
      <c r="F1491">
        <v>2015</v>
      </c>
      <c r="G1491" t="s">
        <v>1284</v>
      </c>
      <c r="H1491" t="s">
        <v>6584</v>
      </c>
      <c r="I1491" t="s">
        <v>6585</v>
      </c>
      <c r="J1491" t="s">
        <v>24</v>
      </c>
      <c r="K1491" t="s">
        <v>269</v>
      </c>
      <c r="L1491" t="b">
        <v>1</v>
      </c>
      <c r="M1491" t="s">
        <v>6586</v>
      </c>
      <c r="N1491" t="str">
        <f>"324.973"</f>
        <v>324.973</v>
      </c>
      <c r="O1491" t="s">
        <v>6587</v>
      </c>
      <c r="P1491" t="b">
        <v>0</v>
      </c>
      <c r="R1491" t="str">
        <f>"9780813937595"</f>
        <v>9780813937595</v>
      </c>
      <c r="S1491" t="str">
        <f>"9780813937601"</f>
        <v>9780813937601</v>
      </c>
      <c r="T1491">
        <v>910848047</v>
      </c>
    </row>
    <row r="1492" spans="1:20" x14ac:dyDescent="0.3">
      <c r="A1492">
        <v>987970</v>
      </c>
      <c r="B1492" t="s">
        <v>6588</v>
      </c>
      <c r="C1492" t="s">
        <v>6589</v>
      </c>
      <c r="D1492" t="s">
        <v>423</v>
      </c>
      <c r="E1492" t="s">
        <v>2169</v>
      </c>
      <c r="F1492">
        <v>2015</v>
      </c>
      <c r="G1492" t="s">
        <v>6048</v>
      </c>
      <c r="H1492" t="s">
        <v>6590</v>
      </c>
      <c r="I1492" t="s">
        <v>6591</v>
      </c>
      <c r="J1492" t="s">
        <v>24</v>
      </c>
      <c r="K1492" t="s">
        <v>25</v>
      </c>
      <c r="L1492" t="b">
        <v>1</v>
      </c>
      <c r="M1492" t="s">
        <v>6592</v>
      </c>
      <c r="N1492" t="str">
        <f>"338.9"</f>
        <v>338.9</v>
      </c>
      <c r="P1492" t="b">
        <v>0</v>
      </c>
      <c r="Q1492" t="b">
        <v>0</v>
      </c>
      <c r="R1492" t="str">
        <f>"9780745334745"</f>
        <v>9780745334745</v>
      </c>
      <c r="S1492" t="str">
        <f>"9781783712816"</f>
        <v>9781783712816</v>
      </c>
      <c r="T1492">
        <v>909895980</v>
      </c>
    </row>
    <row r="1493" spans="1:20" x14ac:dyDescent="0.3">
      <c r="A1493">
        <v>985562</v>
      </c>
      <c r="B1493" t="s">
        <v>6593</v>
      </c>
      <c r="C1493" t="s">
        <v>6594</v>
      </c>
      <c r="D1493" t="s">
        <v>5441</v>
      </c>
      <c r="E1493" t="s">
        <v>5442</v>
      </c>
      <c r="F1493">
        <v>2015</v>
      </c>
      <c r="G1493" t="s">
        <v>1202</v>
      </c>
      <c r="H1493" t="s">
        <v>6595</v>
      </c>
      <c r="J1493" t="s">
        <v>24</v>
      </c>
      <c r="K1493" t="s">
        <v>269</v>
      </c>
      <c r="L1493" t="b">
        <v>1</v>
      </c>
      <c r="M1493" t="s">
        <v>6596</v>
      </c>
      <c r="N1493" t="str">
        <f>"378.769/34"</f>
        <v>378.769/34</v>
      </c>
      <c r="P1493" t="b">
        <v>0</v>
      </c>
      <c r="R1493" t="str">
        <f>"9780813165622"</f>
        <v>9780813165622</v>
      </c>
      <c r="S1493" t="str">
        <f>"9780813165882"</f>
        <v>9780813165882</v>
      </c>
      <c r="T1493">
        <v>925337739</v>
      </c>
    </row>
    <row r="1494" spans="1:20" x14ac:dyDescent="0.3">
      <c r="A1494">
        <v>965143</v>
      </c>
      <c r="B1494" t="s">
        <v>6597</v>
      </c>
      <c r="C1494" t="s">
        <v>6598</v>
      </c>
      <c r="D1494" t="s">
        <v>532</v>
      </c>
      <c r="E1494" t="s">
        <v>6599</v>
      </c>
      <c r="F1494">
        <v>2005</v>
      </c>
      <c r="G1494" t="s">
        <v>6600</v>
      </c>
      <c r="H1494" t="s">
        <v>6601</v>
      </c>
      <c r="I1494" t="s">
        <v>6602</v>
      </c>
      <c r="J1494" t="s">
        <v>24</v>
      </c>
      <c r="K1494" t="s">
        <v>269</v>
      </c>
      <c r="L1494" t="b">
        <v>1</v>
      </c>
      <c r="M1494" t="s">
        <v>6603</v>
      </c>
      <c r="N1494" t="str">
        <f>"979.4/7602"</f>
        <v>979.4/7602</v>
      </c>
      <c r="O1494" t="s">
        <v>6604</v>
      </c>
      <c r="P1494" t="b">
        <v>0</v>
      </c>
      <c r="R1494" t="str">
        <f>"9780807829882"</f>
        <v>9780807829882</v>
      </c>
      <c r="S1494" t="str">
        <f>"9781469601045"</f>
        <v>9781469601045</v>
      </c>
      <c r="T1494">
        <v>1051770914</v>
      </c>
    </row>
    <row r="1495" spans="1:20" x14ac:dyDescent="0.3">
      <c r="A1495">
        <v>944685</v>
      </c>
      <c r="B1495" t="s">
        <v>6605</v>
      </c>
      <c r="C1495" t="s">
        <v>6606</v>
      </c>
      <c r="D1495" t="s">
        <v>5441</v>
      </c>
      <c r="E1495" t="s">
        <v>5442</v>
      </c>
      <c r="F1495">
        <v>2015</v>
      </c>
      <c r="G1495" t="s">
        <v>6607</v>
      </c>
      <c r="H1495" t="s">
        <v>6608</v>
      </c>
      <c r="I1495" t="s">
        <v>6609</v>
      </c>
      <c r="J1495" t="s">
        <v>24</v>
      </c>
      <c r="K1495" t="s">
        <v>25</v>
      </c>
      <c r="L1495" t="b">
        <v>1</v>
      </c>
      <c r="M1495" t="s">
        <v>6610</v>
      </c>
      <c r="N1495" t="str">
        <f>"791.4302/8092"</f>
        <v>791.4302/8092</v>
      </c>
      <c r="O1495" t="s">
        <v>5446</v>
      </c>
      <c r="P1495" t="b">
        <v>0</v>
      </c>
      <c r="R1495" t="str">
        <f>"9780813160740"</f>
        <v>9780813160740</v>
      </c>
      <c r="S1495" t="str">
        <f>"9780813160764"</f>
        <v>9780813160764</v>
      </c>
      <c r="T1495">
        <v>901267331</v>
      </c>
    </row>
    <row r="1496" spans="1:20" x14ac:dyDescent="0.3">
      <c r="A1496">
        <v>938884</v>
      </c>
      <c r="B1496" t="s">
        <v>6611</v>
      </c>
      <c r="C1496" t="s">
        <v>6612</v>
      </c>
      <c r="D1496" t="s">
        <v>5441</v>
      </c>
      <c r="E1496" t="s">
        <v>5442</v>
      </c>
      <c r="F1496">
        <v>1989</v>
      </c>
      <c r="G1496" t="s">
        <v>305</v>
      </c>
      <c r="H1496" t="s">
        <v>6613</v>
      </c>
      <c r="J1496" t="s">
        <v>24</v>
      </c>
      <c r="K1496" t="s">
        <v>25</v>
      </c>
      <c r="L1496" t="b">
        <v>1</v>
      </c>
      <c r="M1496" t="s">
        <v>6614</v>
      </c>
      <c r="N1496" t="str">
        <f>"378.769/47/09"</f>
        <v>378.769/47/09</v>
      </c>
      <c r="P1496" t="b">
        <v>0</v>
      </c>
      <c r="R1496" t="str">
        <f>"9780813116969"</f>
        <v>9780813116969</v>
      </c>
      <c r="S1496" t="str">
        <f>"9780813157542"</f>
        <v>9780813157542</v>
      </c>
      <c r="T1496">
        <v>900345427</v>
      </c>
    </row>
    <row r="1497" spans="1:20" x14ac:dyDescent="0.3">
      <c r="A1497">
        <v>938854</v>
      </c>
      <c r="B1497" t="s">
        <v>6615</v>
      </c>
      <c r="C1497" t="s">
        <v>6616</v>
      </c>
      <c r="D1497" t="s">
        <v>5441</v>
      </c>
      <c r="E1497" t="s">
        <v>5442</v>
      </c>
      <c r="F1497">
        <v>1983</v>
      </c>
      <c r="G1497" t="s">
        <v>220</v>
      </c>
      <c r="H1497" t="s">
        <v>6617</v>
      </c>
      <c r="J1497" t="s">
        <v>24</v>
      </c>
      <c r="K1497" t="s">
        <v>25</v>
      </c>
      <c r="L1497" t="b">
        <v>1</v>
      </c>
      <c r="M1497" t="s">
        <v>6618</v>
      </c>
      <c r="N1497" t="str">
        <f>"823"</f>
        <v>823</v>
      </c>
      <c r="P1497" t="b">
        <v>0</v>
      </c>
      <c r="R1497" t="str">
        <f>"9780813155494"</f>
        <v>9780813155494</v>
      </c>
      <c r="S1497" t="str">
        <f>"9780813165066"</f>
        <v>9780813165066</v>
      </c>
      <c r="T1497">
        <v>900343824</v>
      </c>
    </row>
    <row r="1498" spans="1:20" x14ac:dyDescent="0.3">
      <c r="A1498">
        <v>938837</v>
      </c>
      <c r="B1498" t="s">
        <v>6619</v>
      </c>
      <c r="D1498" t="s">
        <v>5441</v>
      </c>
      <c r="E1498" t="s">
        <v>5442</v>
      </c>
      <c r="F1498">
        <v>1968</v>
      </c>
      <c r="G1498" t="s">
        <v>534</v>
      </c>
      <c r="H1498" t="s">
        <v>6620</v>
      </c>
      <c r="I1498" t="s">
        <v>6621</v>
      </c>
      <c r="J1498" t="s">
        <v>24</v>
      </c>
      <c r="K1498" t="s">
        <v>25</v>
      </c>
      <c r="L1498" t="b">
        <v>1</v>
      </c>
      <c r="M1498" t="s">
        <v>6622</v>
      </c>
      <c r="N1498" t="str">
        <f>"809.1/1/3;809.113"</f>
        <v>809.1/1/3;809.113</v>
      </c>
      <c r="P1498" t="b">
        <v>0</v>
      </c>
      <c r="R1498" t="str">
        <f>"9780813154756"</f>
        <v>9780813154756</v>
      </c>
      <c r="S1498" t="str">
        <f>"9780813164588"</f>
        <v>9780813164588</v>
      </c>
      <c r="T1498">
        <v>900345312</v>
      </c>
    </row>
    <row r="1499" spans="1:20" x14ac:dyDescent="0.3">
      <c r="A1499">
        <v>938834</v>
      </c>
      <c r="B1499" t="s">
        <v>6623</v>
      </c>
      <c r="C1499" t="s">
        <v>6624</v>
      </c>
      <c r="D1499" t="s">
        <v>5441</v>
      </c>
      <c r="E1499" t="s">
        <v>5442</v>
      </c>
      <c r="F1499">
        <v>1980</v>
      </c>
      <c r="G1499" t="s">
        <v>145</v>
      </c>
      <c r="H1499" t="s">
        <v>6625</v>
      </c>
      <c r="J1499" t="s">
        <v>24</v>
      </c>
      <c r="K1499" t="s">
        <v>25</v>
      </c>
      <c r="L1499" t="b">
        <v>1</v>
      </c>
      <c r="M1499" t="s">
        <v>6626</v>
      </c>
      <c r="N1499" t="str">
        <f>"821.8;821/.8"</f>
        <v>821.8;821/.8</v>
      </c>
      <c r="P1499" t="b">
        <v>0</v>
      </c>
      <c r="R1499" t="str">
        <f>"9780813154718"</f>
        <v>9780813154718</v>
      </c>
      <c r="S1499" t="str">
        <f>"9780813164557"</f>
        <v>9780813164557</v>
      </c>
      <c r="T1499">
        <v>900345309</v>
      </c>
    </row>
    <row r="1500" spans="1:20" x14ac:dyDescent="0.3">
      <c r="A1500">
        <v>938829</v>
      </c>
      <c r="B1500" t="s">
        <v>6627</v>
      </c>
      <c r="D1500" t="s">
        <v>5441</v>
      </c>
      <c r="E1500" t="s">
        <v>5442</v>
      </c>
      <c r="F1500">
        <v>1977</v>
      </c>
      <c r="G1500" t="s">
        <v>1325</v>
      </c>
      <c r="H1500" t="s">
        <v>6628</v>
      </c>
      <c r="J1500" t="s">
        <v>24</v>
      </c>
      <c r="K1500" t="s">
        <v>25</v>
      </c>
      <c r="L1500" t="b">
        <v>1</v>
      </c>
      <c r="M1500" t="s">
        <v>6629</v>
      </c>
      <c r="N1500" t="str">
        <f>"811/.5/2"</f>
        <v>811/.5/2</v>
      </c>
      <c r="P1500" t="b">
        <v>0</v>
      </c>
      <c r="R1500" t="str">
        <f>"9780813154589"</f>
        <v>9780813154589</v>
      </c>
      <c r="S1500" t="str">
        <f>"9780813164489"</f>
        <v>9780813164489</v>
      </c>
      <c r="T1500">
        <v>900345031</v>
      </c>
    </row>
    <row r="1501" spans="1:20" x14ac:dyDescent="0.3">
      <c r="A1501">
        <v>938822</v>
      </c>
      <c r="B1501" t="s">
        <v>6630</v>
      </c>
      <c r="C1501" t="s">
        <v>6631</v>
      </c>
      <c r="D1501" t="s">
        <v>5441</v>
      </c>
      <c r="E1501" t="s">
        <v>5442</v>
      </c>
      <c r="F1501">
        <v>1976</v>
      </c>
      <c r="G1501" t="s">
        <v>203</v>
      </c>
      <c r="H1501" t="s">
        <v>6632</v>
      </c>
      <c r="I1501" t="s">
        <v>6633</v>
      </c>
      <c r="J1501" t="s">
        <v>24</v>
      </c>
      <c r="K1501" t="s">
        <v>25</v>
      </c>
      <c r="L1501" t="b">
        <v>1</v>
      </c>
      <c r="M1501" t="s">
        <v>6634</v>
      </c>
      <c r="N1501" t="str">
        <f>"792/.09421/2"</f>
        <v>792/.09421/2</v>
      </c>
      <c r="P1501" t="b">
        <v>1</v>
      </c>
      <c r="R1501" t="str">
        <f>"9780813154480"</f>
        <v>9780813154480</v>
      </c>
      <c r="S1501" t="str">
        <f>"9780813164397"</f>
        <v>9780813164397</v>
      </c>
      <c r="T1501">
        <v>900345297</v>
      </c>
    </row>
    <row r="1502" spans="1:20" x14ac:dyDescent="0.3">
      <c r="A1502">
        <v>938818</v>
      </c>
      <c r="B1502" t="s">
        <v>6635</v>
      </c>
      <c r="D1502" t="s">
        <v>5441</v>
      </c>
      <c r="E1502" t="s">
        <v>5442</v>
      </c>
      <c r="F1502">
        <v>1961</v>
      </c>
      <c r="G1502" t="s">
        <v>145</v>
      </c>
      <c r="H1502" t="s">
        <v>6636</v>
      </c>
      <c r="I1502" t="s">
        <v>6637</v>
      </c>
      <c r="J1502" t="s">
        <v>24</v>
      </c>
      <c r="K1502" t="s">
        <v>25</v>
      </c>
      <c r="L1502" t="b">
        <v>1</v>
      </c>
      <c r="M1502" t="s">
        <v>6638</v>
      </c>
      <c r="N1502" t="str">
        <f>"821.4"</f>
        <v>821.4</v>
      </c>
      <c r="P1502" t="b">
        <v>0</v>
      </c>
      <c r="R1502" t="str">
        <f>"9780813154428"</f>
        <v>9780813154428</v>
      </c>
      <c r="S1502" t="str">
        <f>"9780813164359"</f>
        <v>9780813164359</v>
      </c>
      <c r="T1502">
        <v>900345216</v>
      </c>
    </row>
    <row r="1503" spans="1:20" x14ac:dyDescent="0.3">
      <c r="A1503">
        <v>938817</v>
      </c>
      <c r="B1503" t="s">
        <v>6639</v>
      </c>
      <c r="C1503" t="s">
        <v>6640</v>
      </c>
      <c r="D1503" t="s">
        <v>5441</v>
      </c>
      <c r="E1503" t="s">
        <v>5442</v>
      </c>
      <c r="F1503">
        <v>1966</v>
      </c>
      <c r="G1503" t="s">
        <v>145</v>
      </c>
      <c r="H1503" t="s">
        <v>6641</v>
      </c>
      <c r="J1503" t="s">
        <v>24</v>
      </c>
      <c r="K1503" t="s">
        <v>25</v>
      </c>
      <c r="L1503" t="b">
        <v>1</v>
      </c>
      <c r="M1503" t="s">
        <v>6638</v>
      </c>
      <c r="N1503" t="str">
        <f>"821.3"</f>
        <v>821.3</v>
      </c>
      <c r="P1503" t="b">
        <v>0</v>
      </c>
      <c r="R1503" t="str">
        <f>"9780813154411"</f>
        <v>9780813154411</v>
      </c>
      <c r="S1503" t="str">
        <f>"9780813164342"</f>
        <v>9780813164342</v>
      </c>
      <c r="T1503">
        <v>560349717</v>
      </c>
    </row>
    <row r="1504" spans="1:20" x14ac:dyDescent="0.3">
      <c r="A1504">
        <v>938815</v>
      </c>
      <c r="B1504" t="s">
        <v>6642</v>
      </c>
      <c r="C1504" t="s">
        <v>6643</v>
      </c>
      <c r="D1504" t="s">
        <v>5441</v>
      </c>
      <c r="E1504" t="s">
        <v>5442</v>
      </c>
      <c r="F1504">
        <v>1965</v>
      </c>
      <c r="G1504" t="s">
        <v>6644</v>
      </c>
      <c r="H1504" t="s">
        <v>6645</v>
      </c>
      <c r="I1504" t="s">
        <v>6646</v>
      </c>
      <c r="J1504" t="s">
        <v>24</v>
      </c>
      <c r="K1504" t="s">
        <v>25</v>
      </c>
      <c r="L1504" t="b">
        <v>1</v>
      </c>
      <c r="M1504" t="s">
        <v>6647</v>
      </c>
      <c r="N1504" t="str">
        <f>"016.821/308;016.821308"</f>
        <v>016.821/308;016.821308</v>
      </c>
      <c r="P1504" t="b">
        <v>0</v>
      </c>
      <c r="R1504" t="str">
        <f>"9780813154381"</f>
        <v>9780813154381</v>
      </c>
      <c r="S1504" t="str">
        <f>"9780813164311"</f>
        <v>9780813164311</v>
      </c>
      <c r="T1504">
        <v>900345291</v>
      </c>
    </row>
    <row r="1505" spans="1:20" x14ac:dyDescent="0.3">
      <c r="A1505">
        <v>938801</v>
      </c>
      <c r="B1505" t="s">
        <v>6648</v>
      </c>
      <c r="C1505" t="s">
        <v>6649</v>
      </c>
      <c r="D1505" t="s">
        <v>5441</v>
      </c>
      <c r="E1505" t="s">
        <v>5442</v>
      </c>
      <c r="F1505">
        <v>1983</v>
      </c>
      <c r="G1505" t="s">
        <v>6650</v>
      </c>
      <c r="H1505" t="s">
        <v>6651</v>
      </c>
      <c r="I1505" t="s">
        <v>6652</v>
      </c>
      <c r="J1505" t="s">
        <v>24</v>
      </c>
      <c r="K1505" t="s">
        <v>25</v>
      </c>
      <c r="L1505" t="b">
        <v>1</v>
      </c>
      <c r="M1505" t="s">
        <v>6653</v>
      </c>
      <c r="N1505" t="str">
        <f>"863/.1"</f>
        <v>863/.1</v>
      </c>
      <c r="O1505" t="s">
        <v>6654</v>
      </c>
      <c r="P1505" t="b">
        <v>1</v>
      </c>
      <c r="R1505" t="str">
        <f>"9780813154183"</f>
        <v>9780813154183</v>
      </c>
      <c r="S1505" t="str">
        <f>"9780813164151"</f>
        <v>9780813164151</v>
      </c>
      <c r="T1505">
        <v>900345273</v>
      </c>
    </row>
    <row r="1506" spans="1:20" x14ac:dyDescent="0.3">
      <c r="A1506">
        <v>938777</v>
      </c>
      <c r="B1506" t="s">
        <v>6655</v>
      </c>
      <c r="D1506" t="s">
        <v>5441</v>
      </c>
      <c r="E1506" t="s">
        <v>5442</v>
      </c>
      <c r="F1506">
        <v>1981</v>
      </c>
      <c r="G1506" t="s">
        <v>6656</v>
      </c>
      <c r="H1506" t="s">
        <v>6657</v>
      </c>
      <c r="I1506" t="s">
        <v>6658</v>
      </c>
      <c r="J1506" t="s">
        <v>24</v>
      </c>
      <c r="K1506" t="s">
        <v>25</v>
      </c>
      <c r="L1506" t="b">
        <v>1</v>
      </c>
      <c r="M1506" t="s">
        <v>6659</v>
      </c>
      <c r="N1506" t="str">
        <f>"852.5"</f>
        <v>852.5</v>
      </c>
      <c r="O1506" t="s">
        <v>6654</v>
      </c>
      <c r="P1506" t="b">
        <v>1</v>
      </c>
      <c r="R1506" t="str">
        <f>"9780813153728"</f>
        <v>9780813153728</v>
      </c>
      <c r="S1506" t="str">
        <f>"9780813163871"</f>
        <v>9780813163871</v>
      </c>
      <c r="T1506">
        <v>900345246</v>
      </c>
    </row>
    <row r="1507" spans="1:20" x14ac:dyDescent="0.3">
      <c r="A1507">
        <v>938769</v>
      </c>
      <c r="B1507" t="s">
        <v>6660</v>
      </c>
      <c r="C1507" t="s">
        <v>6661</v>
      </c>
      <c r="D1507" t="s">
        <v>5441</v>
      </c>
      <c r="E1507" t="s">
        <v>5442</v>
      </c>
      <c r="F1507">
        <v>1972</v>
      </c>
      <c r="G1507" t="s">
        <v>145</v>
      </c>
      <c r="H1507" t="s">
        <v>6662</v>
      </c>
      <c r="I1507" t="s">
        <v>6663</v>
      </c>
      <c r="J1507" t="s">
        <v>24</v>
      </c>
      <c r="K1507" t="s">
        <v>25</v>
      </c>
      <c r="L1507" t="b">
        <v>1</v>
      </c>
      <c r="M1507" t="s">
        <v>6664</v>
      </c>
      <c r="N1507" t="str">
        <f>"821/.009/31"</f>
        <v>821/.009/31</v>
      </c>
      <c r="O1507" t="s">
        <v>6665</v>
      </c>
      <c r="P1507" t="b">
        <v>0</v>
      </c>
      <c r="R1507" t="str">
        <f>"9780813153612"</f>
        <v>9780813153612</v>
      </c>
      <c r="S1507" t="str">
        <f>"9780813163796"</f>
        <v>9780813163796</v>
      </c>
      <c r="T1507">
        <v>900344887</v>
      </c>
    </row>
    <row r="1508" spans="1:20" x14ac:dyDescent="0.3">
      <c r="A1508">
        <v>938767</v>
      </c>
      <c r="B1508" t="s">
        <v>6666</v>
      </c>
      <c r="C1508" t="s">
        <v>6667</v>
      </c>
      <c r="D1508" t="s">
        <v>5441</v>
      </c>
      <c r="E1508" t="s">
        <v>5442</v>
      </c>
      <c r="F1508">
        <v>1971</v>
      </c>
      <c r="G1508" t="s">
        <v>611</v>
      </c>
      <c r="H1508" t="s">
        <v>6668</v>
      </c>
      <c r="I1508" t="s">
        <v>6669</v>
      </c>
      <c r="J1508" t="s">
        <v>24</v>
      </c>
      <c r="K1508" t="s">
        <v>25</v>
      </c>
      <c r="L1508" t="b">
        <v>1</v>
      </c>
      <c r="M1508" t="s">
        <v>6670</v>
      </c>
      <c r="N1508" t="str">
        <f>"809.93352"</f>
        <v>809.93352</v>
      </c>
      <c r="P1508" t="b">
        <v>0</v>
      </c>
      <c r="R1508" t="str">
        <f>"9780813153599"</f>
        <v>9780813153599</v>
      </c>
      <c r="S1508" t="str">
        <f>"9780813163772"</f>
        <v>9780813163772</v>
      </c>
      <c r="T1508">
        <v>900344531</v>
      </c>
    </row>
    <row r="1509" spans="1:20" x14ac:dyDescent="0.3">
      <c r="A1509">
        <v>938765</v>
      </c>
      <c r="B1509" t="s">
        <v>6671</v>
      </c>
      <c r="D1509" t="s">
        <v>5441</v>
      </c>
      <c r="E1509" t="s">
        <v>5442</v>
      </c>
      <c r="F1509">
        <v>1980</v>
      </c>
      <c r="G1509" t="s">
        <v>6672</v>
      </c>
      <c r="H1509" t="s">
        <v>6673</v>
      </c>
      <c r="J1509" t="s">
        <v>24</v>
      </c>
      <c r="K1509" t="s">
        <v>25</v>
      </c>
      <c r="L1509" t="b">
        <v>1</v>
      </c>
      <c r="M1509" t="s">
        <v>6674</v>
      </c>
      <c r="N1509" t="str">
        <f>"862.3;862/.3"</f>
        <v>862.3;862/.3</v>
      </c>
      <c r="P1509" t="b">
        <v>1</v>
      </c>
      <c r="R1509" t="str">
        <f>"9780813153568"</f>
        <v>9780813153568</v>
      </c>
      <c r="S1509" t="str">
        <f>"9780813163758"</f>
        <v>9780813163758</v>
      </c>
      <c r="T1509">
        <v>900345225</v>
      </c>
    </row>
    <row r="1510" spans="1:20" x14ac:dyDescent="0.3">
      <c r="A1510">
        <v>938758</v>
      </c>
      <c r="B1510" t="s">
        <v>6675</v>
      </c>
      <c r="D1510" t="s">
        <v>5441</v>
      </c>
      <c r="E1510" t="s">
        <v>5442</v>
      </c>
      <c r="F1510">
        <v>1983</v>
      </c>
      <c r="G1510" t="s">
        <v>2291</v>
      </c>
      <c r="H1510" t="s">
        <v>6676</v>
      </c>
      <c r="I1510" t="s">
        <v>6677</v>
      </c>
      <c r="J1510" t="s">
        <v>24</v>
      </c>
      <c r="K1510" t="s">
        <v>25</v>
      </c>
      <c r="L1510" t="b">
        <v>1</v>
      </c>
      <c r="M1510" t="s">
        <v>6678</v>
      </c>
      <c r="N1510" t="str">
        <f>"843/.8"</f>
        <v>843/.8</v>
      </c>
      <c r="O1510" t="s">
        <v>6654</v>
      </c>
      <c r="P1510" t="b">
        <v>1</v>
      </c>
      <c r="R1510" t="str">
        <f>"9780813153131"</f>
        <v>9780813153131</v>
      </c>
      <c r="S1510" t="str">
        <f>"9780813163475"</f>
        <v>9780813163475</v>
      </c>
      <c r="T1510">
        <v>900345222</v>
      </c>
    </row>
    <row r="1511" spans="1:20" x14ac:dyDescent="0.3">
      <c r="A1511">
        <v>938748</v>
      </c>
      <c r="B1511" t="s">
        <v>6679</v>
      </c>
      <c r="C1511" t="s">
        <v>6680</v>
      </c>
      <c r="D1511" t="s">
        <v>5441</v>
      </c>
      <c r="E1511" t="s">
        <v>5442</v>
      </c>
      <c r="F1511">
        <v>1965</v>
      </c>
      <c r="G1511" t="s">
        <v>540</v>
      </c>
      <c r="H1511" t="s">
        <v>6681</v>
      </c>
      <c r="J1511" t="s">
        <v>24</v>
      </c>
      <c r="K1511" t="s">
        <v>25</v>
      </c>
      <c r="L1511" t="b">
        <v>1</v>
      </c>
      <c r="M1511" t="s">
        <v>6682</v>
      </c>
      <c r="N1511" t="str">
        <f>"848.912"</f>
        <v>848.912</v>
      </c>
      <c r="P1511" t="b">
        <v>0</v>
      </c>
      <c r="R1511" t="str">
        <f>"9780813152950"</f>
        <v>9780813152950</v>
      </c>
      <c r="S1511" t="str">
        <f>"9780813163345"</f>
        <v>9780813163345</v>
      </c>
      <c r="T1511">
        <v>933516005</v>
      </c>
    </row>
    <row r="1512" spans="1:20" x14ac:dyDescent="0.3">
      <c r="A1512">
        <v>938746</v>
      </c>
      <c r="B1512" t="s">
        <v>6683</v>
      </c>
      <c r="C1512" t="s">
        <v>6684</v>
      </c>
      <c r="D1512" t="s">
        <v>5441</v>
      </c>
      <c r="E1512" t="s">
        <v>5442</v>
      </c>
      <c r="F1512">
        <v>1977</v>
      </c>
      <c r="G1512" t="s">
        <v>6650</v>
      </c>
      <c r="H1512" t="s">
        <v>6685</v>
      </c>
      <c r="I1512" t="s">
        <v>6686</v>
      </c>
      <c r="J1512" t="s">
        <v>24</v>
      </c>
      <c r="K1512" t="s">
        <v>25</v>
      </c>
      <c r="L1512" t="b">
        <v>1</v>
      </c>
      <c r="M1512" t="s">
        <v>6687</v>
      </c>
      <c r="N1512" t="str">
        <f>"863/.1"</f>
        <v>863/.1</v>
      </c>
      <c r="O1512" t="s">
        <v>6654</v>
      </c>
      <c r="P1512" t="b">
        <v>1</v>
      </c>
      <c r="R1512" t="str">
        <f>"9780813152936"</f>
        <v>9780813152936</v>
      </c>
      <c r="S1512" t="str">
        <f>"9780813163321"</f>
        <v>9780813163321</v>
      </c>
      <c r="T1512">
        <v>900345210</v>
      </c>
    </row>
    <row r="1513" spans="1:20" x14ac:dyDescent="0.3">
      <c r="A1513">
        <v>938734</v>
      </c>
      <c r="B1513" t="s">
        <v>6688</v>
      </c>
      <c r="C1513" t="s">
        <v>6689</v>
      </c>
      <c r="D1513" t="s">
        <v>5441</v>
      </c>
      <c r="E1513" t="s">
        <v>5442</v>
      </c>
      <c r="F1513">
        <v>1975</v>
      </c>
      <c r="G1513" t="s">
        <v>1313</v>
      </c>
      <c r="H1513" t="s">
        <v>6690</v>
      </c>
      <c r="I1513" t="s">
        <v>6691</v>
      </c>
      <c r="J1513" t="s">
        <v>24</v>
      </c>
      <c r="K1513" t="s">
        <v>25</v>
      </c>
      <c r="L1513" t="b">
        <v>1</v>
      </c>
      <c r="M1513" t="s">
        <v>6692</v>
      </c>
      <c r="N1513" t="str">
        <f>"862.30936"</f>
        <v>862.30936</v>
      </c>
      <c r="O1513" t="s">
        <v>6654</v>
      </c>
      <c r="P1513" t="b">
        <v>0</v>
      </c>
      <c r="R1513" t="str">
        <f>"9780813152394"</f>
        <v>9780813152394</v>
      </c>
      <c r="S1513" t="str">
        <f>"9780813162942"</f>
        <v>9780813162942</v>
      </c>
      <c r="T1513">
        <v>900343948</v>
      </c>
    </row>
    <row r="1514" spans="1:20" x14ac:dyDescent="0.3">
      <c r="A1514">
        <v>938723</v>
      </c>
      <c r="B1514" t="s">
        <v>6693</v>
      </c>
      <c r="D1514" t="s">
        <v>5441</v>
      </c>
      <c r="E1514" t="s">
        <v>5442</v>
      </c>
      <c r="F1514">
        <v>1983</v>
      </c>
      <c r="G1514" t="s">
        <v>569</v>
      </c>
      <c r="H1514" t="s">
        <v>6694</v>
      </c>
      <c r="I1514" t="s">
        <v>6695</v>
      </c>
      <c r="J1514" t="s">
        <v>24</v>
      </c>
      <c r="K1514" t="s">
        <v>25</v>
      </c>
      <c r="L1514" t="b">
        <v>1</v>
      </c>
      <c r="M1514" t="s">
        <v>6696</v>
      </c>
      <c r="N1514" t="str">
        <f>"863/.3"</f>
        <v>863/.3</v>
      </c>
      <c r="O1514" t="s">
        <v>6654</v>
      </c>
      <c r="P1514" t="b">
        <v>0</v>
      </c>
      <c r="R1514" t="str">
        <f>"9780813152202"</f>
        <v>9780813152202</v>
      </c>
      <c r="S1514" t="str">
        <f>"9780813162836"</f>
        <v>9780813162836</v>
      </c>
      <c r="T1514">
        <v>558769753</v>
      </c>
    </row>
    <row r="1515" spans="1:20" x14ac:dyDescent="0.3">
      <c r="A1515">
        <v>938719</v>
      </c>
      <c r="B1515" t="s">
        <v>6697</v>
      </c>
      <c r="C1515" t="s">
        <v>6698</v>
      </c>
      <c r="D1515" t="s">
        <v>5441</v>
      </c>
      <c r="E1515" t="s">
        <v>5442</v>
      </c>
      <c r="F1515">
        <v>1986</v>
      </c>
      <c r="G1515" t="s">
        <v>569</v>
      </c>
      <c r="H1515" t="s">
        <v>6699</v>
      </c>
      <c r="I1515" t="s">
        <v>6700</v>
      </c>
      <c r="J1515" t="s">
        <v>24</v>
      </c>
      <c r="K1515" t="s">
        <v>25</v>
      </c>
      <c r="L1515" t="b">
        <v>1</v>
      </c>
      <c r="M1515" t="s">
        <v>6701</v>
      </c>
      <c r="N1515" t="str">
        <f>"862.3"</f>
        <v>862.3</v>
      </c>
      <c r="O1515" t="s">
        <v>6654</v>
      </c>
      <c r="P1515" t="b">
        <v>0</v>
      </c>
      <c r="R1515" t="str">
        <f>"9780813152134"</f>
        <v>9780813152134</v>
      </c>
      <c r="S1515" t="str">
        <f>"9780813162799"</f>
        <v>9780813162799</v>
      </c>
      <c r="T1515">
        <v>900345185</v>
      </c>
    </row>
    <row r="1516" spans="1:20" x14ac:dyDescent="0.3">
      <c r="A1516">
        <v>938717</v>
      </c>
      <c r="B1516" t="s">
        <v>6702</v>
      </c>
      <c r="C1516" t="s">
        <v>6703</v>
      </c>
      <c r="D1516" t="s">
        <v>5441</v>
      </c>
      <c r="E1516" t="s">
        <v>5442</v>
      </c>
      <c r="F1516">
        <v>1980</v>
      </c>
      <c r="G1516" t="s">
        <v>569</v>
      </c>
      <c r="H1516" t="s">
        <v>6704</v>
      </c>
      <c r="I1516" t="s">
        <v>6705</v>
      </c>
      <c r="J1516" t="s">
        <v>24</v>
      </c>
      <c r="K1516" t="s">
        <v>25</v>
      </c>
      <c r="L1516" t="b">
        <v>1</v>
      </c>
      <c r="M1516" t="s">
        <v>6706</v>
      </c>
      <c r="N1516" t="str">
        <f>"863/.5"</f>
        <v>863/.5</v>
      </c>
      <c r="O1516" t="s">
        <v>6654</v>
      </c>
      <c r="P1516" t="b">
        <v>0</v>
      </c>
      <c r="R1516" t="str">
        <f>"9780813152103"</f>
        <v>9780813152103</v>
      </c>
      <c r="S1516" t="str">
        <f>"9780813162775"</f>
        <v>9780813162775</v>
      </c>
      <c r="T1516">
        <v>610189719</v>
      </c>
    </row>
    <row r="1517" spans="1:20" x14ac:dyDescent="0.3">
      <c r="A1517">
        <v>938701</v>
      </c>
      <c r="B1517" t="s">
        <v>6707</v>
      </c>
      <c r="D1517" t="s">
        <v>5441</v>
      </c>
      <c r="E1517" t="s">
        <v>5442</v>
      </c>
      <c r="F1517">
        <v>1957</v>
      </c>
      <c r="G1517" t="s">
        <v>145</v>
      </c>
      <c r="H1517" t="s">
        <v>6708</v>
      </c>
      <c r="I1517" t="s">
        <v>6709</v>
      </c>
      <c r="J1517" t="s">
        <v>24</v>
      </c>
      <c r="K1517" t="s">
        <v>25</v>
      </c>
      <c r="L1517" t="b">
        <v>1</v>
      </c>
      <c r="M1517" t="s">
        <v>6710</v>
      </c>
      <c r="N1517" t="str">
        <f>"821.47"</f>
        <v>821.47</v>
      </c>
      <c r="P1517" t="b">
        <v>0</v>
      </c>
      <c r="R1517" t="str">
        <f>"9780813151878"</f>
        <v>9780813151878</v>
      </c>
      <c r="S1517" t="str">
        <f>"9780813162591"</f>
        <v>9780813162591</v>
      </c>
      <c r="T1517">
        <v>903963139</v>
      </c>
    </row>
    <row r="1518" spans="1:20" x14ac:dyDescent="0.3">
      <c r="A1518">
        <v>938679</v>
      </c>
      <c r="B1518" t="s">
        <v>6711</v>
      </c>
      <c r="D1518" t="s">
        <v>5441</v>
      </c>
      <c r="E1518" t="s">
        <v>5442</v>
      </c>
      <c r="F1518">
        <v>1991</v>
      </c>
      <c r="G1518" t="s">
        <v>6392</v>
      </c>
      <c r="H1518" t="s">
        <v>6712</v>
      </c>
      <c r="I1518" t="s">
        <v>6713</v>
      </c>
      <c r="J1518" t="s">
        <v>24</v>
      </c>
      <c r="K1518" t="s">
        <v>25</v>
      </c>
      <c r="L1518" t="b">
        <v>1</v>
      </c>
      <c r="M1518" t="s">
        <v>6714</v>
      </c>
      <c r="N1518" t="str">
        <f>"862.6209972"</f>
        <v>862.6209972</v>
      </c>
      <c r="P1518" t="b">
        <v>0</v>
      </c>
      <c r="R1518" t="str">
        <f>"9780813151595"</f>
        <v>9780813151595</v>
      </c>
      <c r="S1518" t="str">
        <f>"9780813162331"</f>
        <v>9780813162331</v>
      </c>
      <c r="T1518">
        <v>900345150</v>
      </c>
    </row>
    <row r="1519" spans="1:20" x14ac:dyDescent="0.3">
      <c r="A1519">
        <v>938674</v>
      </c>
      <c r="B1519" t="s">
        <v>6715</v>
      </c>
      <c r="D1519" t="s">
        <v>5441</v>
      </c>
      <c r="E1519" t="s">
        <v>5442</v>
      </c>
      <c r="F1519">
        <v>1976</v>
      </c>
      <c r="G1519" t="s">
        <v>569</v>
      </c>
      <c r="H1519" t="s">
        <v>6716</v>
      </c>
      <c r="I1519" t="s">
        <v>6717</v>
      </c>
      <c r="J1519" t="s">
        <v>24</v>
      </c>
      <c r="K1519" t="s">
        <v>25</v>
      </c>
      <c r="L1519" t="b">
        <v>1</v>
      </c>
      <c r="M1519" t="s">
        <v>6718</v>
      </c>
      <c r="N1519" t="str">
        <f>"861.04"</f>
        <v>861.04</v>
      </c>
      <c r="O1519" t="s">
        <v>6654</v>
      </c>
      <c r="P1519" t="b">
        <v>0</v>
      </c>
      <c r="R1519" t="str">
        <f>"9780813151540"</f>
        <v>9780813151540</v>
      </c>
      <c r="S1519" t="str">
        <f>"9780813162287"</f>
        <v>9780813162287</v>
      </c>
      <c r="T1519">
        <v>900345136</v>
      </c>
    </row>
    <row r="1520" spans="1:20" x14ac:dyDescent="0.3">
      <c r="A1520">
        <v>938636</v>
      </c>
      <c r="B1520" t="s">
        <v>6719</v>
      </c>
      <c r="C1520" t="s">
        <v>6720</v>
      </c>
      <c r="D1520" t="s">
        <v>5441</v>
      </c>
      <c r="E1520" t="s">
        <v>5442</v>
      </c>
      <c r="F1520">
        <v>1980</v>
      </c>
      <c r="G1520" t="s">
        <v>145</v>
      </c>
      <c r="H1520" t="s">
        <v>6721</v>
      </c>
      <c r="J1520" t="s">
        <v>24</v>
      </c>
      <c r="K1520" t="s">
        <v>25</v>
      </c>
      <c r="L1520" t="b">
        <v>1</v>
      </c>
      <c r="M1520" t="s">
        <v>6722</v>
      </c>
      <c r="N1520" t="str">
        <f>"821.4"</f>
        <v>821.4</v>
      </c>
      <c r="P1520" t="b">
        <v>0</v>
      </c>
      <c r="R1520" t="str">
        <f>"9780813150857"</f>
        <v>9780813150857</v>
      </c>
      <c r="S1520" t="str">
        <f>"9780813161846"</f>
        <v>9780813161846</v>
      </c>
      <c r="T1520">
        <v>900344997</v>
      </c>
    </row>
    <row r="1521" spans="1:20" x14ac:dyDescent="0.3">
      <c r="A1521">
        <v>938625</v>
      </c>
      <c r="B1521" t="s">
        <v>6723</v>
      </c>
      <c r="C1521" t="s">
        <v>6724</v>
      </c>
      <c r="D1521" t="s">
        <v>5441</v>
      </c>
      <c r="E1521" t="s">
        <v>5442</v>
      </c>
      <c r="F1521">
        <v>1986</v>
      </c>
      <c r="G1521" t="s">
        <v>6725</v>
      </c>
      <c r="H1521" t="s">
        <v>6726</v>
      </c>
      <c r="I1521" t="s">
        <v>6727</v>
      </c>
      <c r="J1521" t="s">
        <v>24</v>
      </c>
      <c r="K1521" t="s">
        <v>25</v>
      </c>
      <c r="L1521" t="b">
        <v>1</v>
      </c>
      <c r="M1521" t="s">
        <v>6728</v>
      </c>
      <c r="N1521" t="str">
        <f>"016.7899/1217755;016.78991217755"</f>
        <v>016.7899/1217755;016.78991217755</v>
      </c>
      <c r="P1521" t="b">
        <v>0</v>
      </c>
      <c r="R1521" t="str">
        <f>"9780813116587"</f>
        <v>9780813116587</v>
      </c>
      <c r="S1521" t="str">
        <f>"9780813161549"</f>
        <v>9780813161549</v>
      </c>
      <c r="T1521">
        <v>900344965</v>
      </c>
    </row>
    <row r="1522" spans="1:20" x14ac:dyDescent="0.3">
      <c r="A1522">
        <v>938598</v>
      </c>
      <c r="B1522" t="s">
        <v>6729</v>
      </c>
      <c r="D1522" t="s">
        <v>5441</v>
      </c>
      <c r="E1522" t="s">
        <v>5442</v>
      </c>
      <c r="F1522">
        <v>1970</v>
      </c>
      <c r="G1522" t="s">
        <v>569</v>
      </c>
      <c r="H1522" t="s">
        <v>6730</v>
      </c>
      <c r="I1522" t="s">
        <v>6731</v>
      </c>
      <c r="J1522" t="s">
        <v>24</v>
      </c>
      <c r="K1522" t="s">
        <v>25</v>
      </c>
      <c r="L1522" t="b">
        <v>1</v>
      </c>
      <c r="M1522" t="s">
        <v>6732</v>
      </c>
      <c r="N1522" t="str">
        <f>"860.9"</f>
        <v>860.9</v>
      </c>
      <c r="O1522" t="s">
        <v>6654</v>
      </c>
      <c r="P1522" t="b">
        <v>0</v>
      </c>
      <c r="R1522" t="str">
        <f>"9780813152707"</f>
        <v>9780813152707</v>
      </c>
      <c r="S1522" t="str">
        <f>"9780813163161"</f>
        <v>9780813163161</v>
      </c>
      <c r="T1522">
        <v>900345046</v>
      </c>
    </row>
    <row r="1523" spans="1:20" x14ac:dyDescent="0.3">
      <c r="A1523">
        <v>938596</v>
      </c>
      <c r="B1523" t="s">
        <v>6733</v>
      </c>
      <c r="C1523" t="s">
        <v>6734</v>
      </c>
      <c r="D1523" t="s">
        <v>5441</v>
      </c>
      <c r="E1523" t="s">
        <v>5442</v>
      </c>
      <c r="F1523">
        <v>1970</v>
      </c>
      <c r="G1523" t="s">
        <v>1313</v>
      </c>
      <c r="H1523" t="s">
        <v>6735</v>
      </c>
      <c r="I1523" t="s">
        <v>6736</v>
      </c>
      <c r="J1523" t="s">
        <v>24</v>
      </c>
      <c r="K1523" t="s">
        <v>25</v>
      </c>
      <c r="L1523" t="b">
        <v>1</v>
      </c>
      <c r="M1523" t="s">
        <v>6737</v>
      </c>
      <c r="N1523" t="str">
        <f>"822/.4/0916"</f>
        <v>822/.4/0916</v>
      </c>
      <c r="P1523" t="b">
        <v>0</v>
      </c>
      <c r="R1523" t="str">
        <f>"9780813152516"</f>
        <v>9780813152516</v>
      </c>
      <c r="S1523" t="str">
        <f>"9780813163024"</f>
        <v>9780813163024</v>
      </c>
      <c r="T1523">
        <v>900345044</v>
      </c>
    </row>
    <row r="1524" spans="1:20" x14ac:dyDescent="0.3">
      <c r="A1524">
        <v>938527</v>
      </c>
      <c r="B1524" t="s">
        <v>6738</v>
      </c>
      <c r="D1524" t="s">
        <v>5441</v>
      </c>
      <c r="E1524" t="s">
        <v>5442</v>
      </c>
      <c r="F1524">
        <v>1989</v>
      </c>
      <c r="G1524" t="s">
        <v>145</v>
      </c>
      <c r="H1524" t="s">
        <v>6739</v>
      </c>
      <c r="J1524" t="s">
        <v>24</v>
      </c>
      <c r="K1524" t="s">
        <v>25</v>
      </c>
      <c r="L1524" t="b">
        <v>1</v>
      </c>
      <c r="M1524" t="s">
        <v>6740</v>
      </c>
      <c r="N1524" t="str">
        <f>"823.6;823/.6"</f>
        <v>823.6;823/.6</v>
      </c>
      <c r="P1524" t="b">
        <v>0</v>
      </c>
      <c r="R1524" t="str">
        <f>"9780813116891"</f>
        <v>9780813116891</v>
      </c>
      <c r="S1524" t="str">
        <f>"9780813161778"</f>
        <v>9780813161778</v>
      </c>
      <c r="T1524">
        <v>900344838</v>
      </c>
    </row>
    <row r="1525" spans="1:20" x14ac:dyDescent="0.3">
      <c r="A1525">
        <v>938522</v>
      </c>
      <c r="B1525" t="s">
        <v>6741</v>
      </c>
      <c r="D1525" t="s">
        <v>5441</v>
      </c>
      <c r="E1525" t="s">
        <v>5442</v>
      </c>
      <c r="F1525">
        <v>1984</v>
      </c>
      <c r="G1525" t="s">
        <v>569</v>
      </c>
      <c r="H1525" t="s">
        <v>6742</v>
      </c>
      <c r="I1525" t="s">
        <v>6743</v>
      </c>
      <c r="J1525" t="s">
        <v>24</v>
      </c>
      <c r="K1525" t="s">
        <v>25</v>
      </c>
      <c r="L1525" t="b">
        <v>1</v>
      </c>
      <c r="M1525" t="s">
        <v>6744</v>
      </c>
      <c r="N1525" t="str">
        <f>"863/.1/09"</f>
        <v>863/.1/09</v>
      </c>
      <c r="P1525" t="b">
        <v>0</v>
      </c>
      <c r="R1525" t="str">
        <f>"9780813156057"</f>
        <v>9780813156057</v>
      </c>
      <c r="S1525" t="str">
        <f>"9780813165295"</f>
        <v>9780813165295</v>
      </c>
      <c r="T1525">
        <v>900344923</v>
      </c>
    </row>
    <row r="1526" spans="1:20" x14ac:dyDescent="0.3">
      <c r="A1526">
        <v>938504</v>
      </c>
      <c r="B1526" t="s">
        <v>6745</v>
      </c>
      <c r="C1526" t="s">
        <v>6746</v>
      </c>
      <c r="D1526" t="s">
        <v>5441</v>
      </c>
      <c r="E1526" t="s">
        <v>5442</v>
      </c>
      <c r="F1526">
        <v>1961</v>
      </c>
      <c r="G1526" t="s">
        <v>6747</v>
      </c>
      <c r="H1526" t="s">
        <v>6748</v>
      </c>
      <c r="I1526" t="s">
        <v>6749</v>
      </c>
      <c r="J1526" t="s">
        <v>24</v>
      </c>
      <c r="K1526" t="s">
        <v>25</v>
      </c>
      <c r="L1526" t="b">
        <v>1</v>
      </c>
      <c r="M1526" t="s">
        <v>6750</v>
      </c>
      <c r="N1526" t="str">
        <f>"892.7109"</f>
        <v>892.7109</v>
      </c>
      <c r="P1526" t="b">
        <v>0</v>
      </c>
      <c r="R1526" t="str">
        <f>"9780813155371"</f>
        <v>9780813155371</v>
      </c>
      <c r="S1526" t="str">
        <f>"9780813164960"</f>
        <v>9780813164960</v>
      </c>
      <c r="T1526">
        <v>900344628</v>
      </c>
    </row>
    <row r="1527" spans="1:20" x14ac:dyDescent="0.3">
      <c r="A1527">
        <v>938494</v>
      </c>
      <c r="B1527" t="s">
        <v>6751</v>
      </c>
      <c r="C1527" t="s">
        <v>6752</v>
      </c>
      <c r="D1527" t="s">
        <v>5441</v>
      </c>
      <c r="E1527" t="s">
        <v>5442</v>
      </c>
      <c r="F1527">
        <v>1985</v>
      </c>
      <c r="G1527" t="s">
        <v>6672</v>
      </c>
      <c r="H1527" t="s">
        <v>6753</v>
      </c>
      <c r="J1527" t="s">
        <v>24</v>
      </c>
      <c r="K1527" t="s">
        <v>25</v>
      </c>
      <c r="L1527" t="b">
        <v>1</v>
      </c>
      <c r="M1527" t="s">
        <v>6754</v>
      </c>
      <c r="N1527" t="str">
        <f>"862.3"</f>
        <v>862.3</v>
      </c>
      <c r="O1527" t="s">
        <v>6654</v>
      </c>
      <c r="P1527" t="b">
        <v>1</v>
      </c>
      <c r="R1527" t="str">
        <f>"9780813160252"</f>
        <v>9780813160252</v>
      </c>
      <c r="S1527" t="str">
        <f>"9780813165301"</f>
        <v>9780813165301</v>
      </c>
      <c r="T1527">
        <v>897756797</v>
      </c>
    </row>
    <row r="1528" spans="1:20" x14ac:dyDescent="0.3">
      <c r="A1528">
        <v>938482</v>
      </c>
      <c r="B1528" t="s">
        <v>6755</v>
      </c>
      <c r="D1528" t="s">
        <v>5441</v>
      </c>
      <c r="E1528" t="s">
        <v>5442</v>
      </c>
      <c r="F1528">
        <v>1991</v>
      </c>
      <c r="G1528" t="s">
        <v>1232</v>
      </c>
      <c r="H1528" t="s">
        <v>6756</v>
      </c>
      <c r="I1528" t="s">
        <v>6757</v>
      </c>
      <c r="J1528" t="s">
        <v>24</v>
      </c>
      <c r="K1528" t="s">
        <v>25</v>
      </c>
      <c r="L1528" t="b">
        <v>1</v>
      </c>
      <c r="M1528" t="s">
        <v>6758</v>
      </c>
      <c r="N1528" t="str">
        <f>"720/.9769"</f>
        <v>720/.9769</v>
      </c>
      <c r="P1528" t="b">
        <v>0</v>
      </c>
      <c r="R1528" t="str">
        <f>"9780813117591"</f>
        <v>9780813117591</v>
      </c>
      <c r="S1528" t="str">
        <f>"9780813161686"</f>
        <v>9780813161686</v>
      </c>
      <c r="T1528">
        <v>900464435</v>
      </c>
    </row>
    <row r="1529" spans="1:20" x14ac:dyDescent="0.3">
      <c r="A1529">
        <v>938480</v>
      </c>
      <c r="B1529" t="s">
        <v>6759</v>
      </c>
      <c r="C1529" t="s">
        <v>6760</v>
      </c>
      <c r="D1529" t="s">
        <v>5441</v>
      </c>
      <c r="E1529" t="s">
        <v>5442</v>
      </c>
      <c r="F1529">
        <v>1978</v>
      </c>
      <c r="G1529" t="s">
        <v>725</v>
      </c>
      <c r="H1529" t="s">
        <v>6761</v>
      </c>
      <c r="J1529" t="s">
        <v>24</v>
      </c>
      <c r="K1529" t="s">
        <v>25</v>
      </c>
      <c r="L1529" t="b">
        <v>1</v>
      </c>
      <c r="M1529" t="s">
        <v>6762</v>
      </c>
      <c r="N1529" t="str">
        <f>"891.7/1/42"</f>
        <v>891.7/1/42</v>
      </c>
      <c r="P1529" t="b">
        <v>0</v>
      </c>
      <c r="R1529" t="str">
        <f>"9780813113685"</f>
        <v>9780813113685</v>
      </c>
      <c r="S1529" t="str">
        <f>"9780813161679"</f>
        <v>9780813161679</v>
      </c>
      <c r="T1529">
        <v>900344979</v>
      </c>
    </row>
    <row r="1530" spans="1:20" x14ac:dyDescent="0.3">
      <c r="A1530">
        <v>938477</v>
      </c>
      <c r="B1530" t="s">
        <v>6763</v>
      </c>
      <c r="D1530" t="s">
        <v>5441</v>
      </c>
      <c r="E1530" t="s">
        <v>5442</v>
      </c>
      <c r="F1530">
        <v>1974</v>
      </c>
      <c r="G1530" t="s">
        <v>6764</v>
      </c>
      <c r="H1530" t="s">
        <v>6765</v>
      </c>
      <c r="J1530" t="s">
        <v>24</v>
      </c>
      <c r="K1530" t="s">
        <v>25</v>
      </c>
      <c r="L1530" t="b">
        <v>1</v>
      </c>
      <c r="M1530" t="s">
        <v>6766</v>
      </c>
      <c r="N1530" t="str">
        <f>"070.4/092/4"</f>
        <v>070.4/092/4</v>
      </c>
      <c r="P1530" t="b">
        <v>0</v>
      </c>
      <c r="R1530" t="str">
        <f>"9780813152714"</f>
        <v>9780813152714</v>
      </c>
      <c r="S1530" t="str">
        <f>"9780813163178"</f>
        <v>9780813163178</v>
      </c>
      <c r="T1530">
        <v>900344975</v>
      </c>
    </row>
    <row r="1531" spans="1:20" x14ac:dyDescent="0.3">
      <c r="A1531">
        <v>938476</v>
      </c>
      <c r="B1531" t="s">
        <v>6767</v>
      </c>
      <c r="D1531" t="s">
        <v>5441</v>
      </c>
      <c r="E1531" t="s">
        <v>5442</v>
      </c>
      <c r="F1531">
        <v>1975</v>
      </c>
      <c r="G1531" t="s">
        <v>6768</v>
      </c>
      <c r="H1531" t="s">
        <v>6769</v>
      </c>
      <c r="J1531" t="s">
        <v>24</v>
      </c>
      <c r="K1531" t="s">
        <v>25</v>
      </c>
      <c r="L1531" t="b">
        <v>1</v>
      </c>
      <c r="M1531" t="s">
        <v>6770</v>
      </c>
      <c r="N1531" t="str">
        <f>"378.1/2/0924"</f>
        <v>378.1/2/0924</v>
      </c>
      <c r="P1531" t="b">
        <v>0</v>
      </c>
      <c r="R1531" t="str">
        <f>"9780813153230"</f>
        <v>9780813153230</v>
      </c>
      <c r="S1531" t="str">
        <f>"9780813163550"</f>
        <v>9780813163550</v>
      </c>
      <c r="T1531">
        <v>900344974</v>
      </c>
    </row>
    <row r="1532" spans="1:20" x14ac:dyDescent="0.3">
      <c r="A1532">
        <v>938468</v>
      </c>
      <c r="B1532" t="s">
        <v>6771</v>
      </c>
      <c r="D1532" t="s">
        <v>5441</v>
      </c>
      <c r="E1532" t="s">
        <v>5442</v>
      </c>
      <c r="F1532">
        <v>1984</v>
      </c>
      <c r="G1532" t="s">
        <v>569</v>
      </c>
      <c r="H1532" t="s">
        <v>6772</v>
      </c>
      <c r="I1532" t="s">
        <v>674</v>
      </c>
      <c r="J1532" t="s">
        <v>24</v>
      </c>
      <c r="K1532" t="s">
        <v>25</v>
      </c>
      <c r="L1532" t="b">
        <v>1</v>
      </c>
      <c r="M1532" t="s">
        <v>6773</v>
      </c>
      <c r="N1532" t="str">
        <f>"862/.3/09"</f>
        <v>862/.3/09</v>
      </c>
      <c r="O1532" t="s">
        <v>6654</v>
      </c>
      <c r="P1532" t="b">
        <v>0</v>
      </c>
      <c r="R1532" t="str">
        <f>"9780813155388"</f>
        <v>9780813155388</v>
      </c>
      <c r="S1532" t="str">
        <f>"9780813164977"</f>
        <v>9780813164977</v>
      </c>
      <c r="T1532">
        <v>900344937</v>
      </c>
    </row>
    <row r="1533" spans="1:20" x14ac:dyDescent="0.3">
      <c r="A1533">
        <v>938454</v>
      </c>
      <c r="B1533" t="s">
        <v>6774</v>
      </c>
      <c r="D1533" t="s">
        <v>5441</v>
      </c>
      <c r="E1533" t="s">
        <v>5442</v>
      </c>
      <c r="F1533">
        <v>1987</v>
      </c>
      <c r="G1533" t="s">
        <v>305</v>
      </c>
      <c r="H1533" t="s">
        <v>6775</v>
      </c>
      <c r="J1533" t="s">
        <v>24</v>
      </c>
      <c r="K1533" t="s">
        <v>25</v>
      </c>
      <c r="L1533" t="b">
        <v>1</v>
      </c>
      <c r="M1533" t="s">
        <v>6776</v>
      </c>
      <c r="N1533" t="str">
        <f>"378.769"</f>
        <v>378.769</v>
      </c>
      <c r="P1533" t="b">
        <v>0</v>
      </c>
      <c r="R1533" t="str">
        <f>"9780813116204"</f>
        <v>9780813116204</v>
      </c>
      <c r="S1533" t="str">
        <f>"9780813157634"</f>
        <v>9780813157634</v>
      </c>
      <c r="T1533">
        <v>900344898</v>
      </c>
    </row>
    <row r="1534" spans="1:20" x14ac:dyDescent="0.3">
      <c r="A1534">
        <v>938436</v>
      </c>
      <c r="B1534" t="s">
        <v>6777</v>
      </c>
      <c r="D1534" t="s">
        <v>5441</v>
      </c>
      <c r="E1534" t="s">
        <v>5442</v>
      </c>
      <c r="F1534">
        <v>2000</v>
      </c>
      <c r="G1534" t="s">
        <v>305</v>
      </c>
      <c r="H1534" t="s">
        <v>6778</v>
      </c>
      <c r="J1534" t="s">
        <v>24</v>
      </c>
      <c r="K1534" t="s">
        <v>25</v>
      </c>
      <c r="L1534" t="b">
        <v>1</v>
      </c>
      <c r="M1534" t="s">
        <v>6779</v>
      </c>
      <c r="N1534" t="str">
        <f>"378.769/44"</f>
        <v>378.769/44</v>
      </c>
      <c r="P1534" t="b">
        <v>0</v>
      </c>
      <c r="R1534" t="str">
        <f>"9780813121420"</f>
        <v>9780813121420</v>
      </c>
      <c r="S1534" t="str">
        <f>"9780813157559"</f>
        <v>9780813157559</v>
      </c>
      <c r="T1534">
        <v>900344869</v>
      </c>
    </row>
    <row r="1535" spans="1:20" x14ac:dyDescent="0.3">
      <c r="A1535">
        <v>938304</v>
      </c>
      <c r="B1535" t="s">
        <v>6780</v>
      </c>
      <c r="C1535" t="s">
        <v>6781</v>
      </c>
      <c r="D1535" t="s">
        <v>5441</v>
      </c>
      <c r="E1535" t="s">
        <v>5442</v>
      </c>
      <c r="F1535">
        <v>1992</v>
      </c>
      <c r="G1535" t="s">
        <v>6782</v>
      </c>
      <c r="H1535" t="s">
        <v>6783</v>
      </c>
      <c r="I1535" t="s">
        <v>6784</v>
      </c>
      <c r="J1535" t="s">
        <v>24</v>
      </c>
      <c r="K1535" t="s">
        <v>25</v>
      </c>
      <c r="L1535" t="b">
        <v>1</v>
      </c>
      <c r="M1535" t="s">
        <v>6785</v>
      </c>
      <c r="N1535" t="str">
        <f>"791.5"</f>
        <v>791.5</v>
      </c>
      <c r="P1535" t="b">
        <v>0</v>
      </c>
      <c r="R1535" t="str">
        <f>"9780813117959"</f>
        <v>9780813117959</v>
      </c>
      <c r="S1535" t="str">
        <f>"9780813159416"</f>
        <v>9780813159416</v>
      </c>
      <c r="T1535">
        <v>900344599</v>
      </c>
    </row>
    <row r="1536" spans="1:20" x14ac:dyDescent="0.3">
      <c r="A1536">
        <v>938254</v>
      </c>
      <c r="B1536" t="s">
        <v>6786</v>
      </c>
      <c r="D1536" t="s">
        <v>5441</v>
      </c>
      <c r="E1536" t="s">
        <v>5442</v>
      </c>
      <c r="F1536">
        <v>1998</v>
      </c>
      <c r="G1536" t="s">
        <v>6787</v>
      </c>
      <c r="H1536" t="s">
        <v>6788</v>
      </c>
      <c r="I1536" t="s">
        <v>6789</v>
      </c>
      <c r="J1536" t="s">
        <v>24</v>
      </c>
      <c r="K1536" t="s">
        <v>25</v>
      </c>
      <c r="L1536" t="b">
        <v>1</v>
      </c>
      <c r="M1536" t="s">
        <v>6790</v>
      </c>
      <c r="N1536" t="str">
        <f>"861/.1"</f>
        <v>861/.1</v>
      </c>
      <c r="O1536" t="s">
        <v>6654</v>
      </c>
      <c r="P1536" t="b">
        <v>0</v>
      </c>
      <c r="R1536" t="str">
        <f>"9780813120508"</f>
        <v>9780813120508</v>
      </c>
      <c r="S1536" t="str">
        <f>"9780813159096"</f>
        <v>9780813159096</v>
      </c>
      <c r="T1536">
        <v>900344519</v>
      </c>
    </row>
    <row r="1537" spans="1:20" x14ac:dyDescent="0.3">
      <c r="A1537">
        <v>938253</v>
      </c>
      <c r="B1537" t="s">
        <v>6791</v>
      </c>
      <c r="D1537" t="s">
        <v>5441</v>
      </c>
      <c r="E1537" t="s">
        <v>5442</v>
      </c>
      <c r="F1537">
        <v>2002</v>
      </c>
      <c r="G1537" t="s">
        <v>6792</v>
      </c>
      <c r="H1537" t="s">
        <v>6793</v>
      </c>
      <c r="I1537" t="s">
        <v>6794</v>
      </c>
      <c r="J1537" t="s">
        <v>24</v>
      </c>
      <c r="K1537" t="s">
        <v>25</v>
      </c>
      <c r="L1537" t="b">
        <v>1</v>
      </c>
      <c r="M1537" t="s">
        <v>6795</v>
      </c>
      <c r="N1537" t="str">
        <f>"781.642"</f>
        <v>781.642</v>
      </c>
      <c r="P1537" t="b">
        <v>0</v>
      </c>
      <c r="R1537" t="str">
        <f>"9780813109916"</f>
        <v>9780813109916</v>
      </c>
      <c r="S1537" t="str">
        <f>"9780813157191"</f>
        <v>9780813157191</v>
      </c>
      <c r="T1537">
        <v>900344518</v>
      </c>
    </row>
    <row r="1538" spans="1:20" x14ac:dyDescent="0.3">
      <c r="A1538">
        <v>938252</v>
      </c>
      <c r="B1538" t="s">
        <v>6796</v>
      </c>
      <c r="D1538" t="s">
        <v>5441</v>
      </c>
      <c r="E1538" t="s">
        <v>5442</v>
      </c>
      <c r="F1538">
        <v>2001</v>
      </c>
      <c r="G1538" t="s">
        <v>6792</v>
      </c>
      <c r="H1538" t="s">
        <v>6797</v>
      </c>
      <c r="I1538" t="s">
        <v>6794</v>
      </c>
      <c r="J1538" t="s">
        <v>24</v>
      </c>
      <c r="K1538" t="s">
        <v>25</v>
      </c>
      <c r="L1538" t="b">
        <v>1</v>
      </c>
      <c r="M1538" t="s">
        <v>6795</v>
      </c>
      <c r="N1538" t="str">
        <f>"781.642"</f>
        <v>781.642</v>
      </c>
      <c r="P1538" t="b">
        <v>0</v>
      </c>
      <c r="R1538" t="str">
        <f>"9780813109909"</f>
        <v>9780813109909</v>
      </c>
      <c r="S1538" t="str">
        <f>"9780813157184"</f>
        <v>9780813157184</v>
      </c>
      <c r="T1538">
        <v>900344496</v>
      </c>
    </row>
    <row r="1539" spans="1:20" x14ac:dyDescent="0.3">
      <c r="A1539">
        <v>938251</v>
      </c>
      <c r="B1539" t="s">
        <v>6798</v>
      </c>
      <c r="D1539" t="s">
        <v>5441</v>
      </c>
      <c r="E1539" t="s">
        <v>5442</v>
      </c>
      <c r="F1539">
        <v>2000</v>
      </c>
      <c r="G1539" t="s">
        <v>6792</v>
      </c>
      <c r="H1539" t="s">
        <v>6797</v>
      </c>
      <c r="I1539" t="s">
        <v>6794</v>
      </c>
      <c r="J1539" t="s">
        <v>24</v>
      </c>
      <c r="K1539" t="s">
        <v>25</v>
      </c>
      <c r="L1539" t="b">
        <v>1</v>
      </c>
      <c r="M1539" t="s">
        <v>6795</v>
      </c>
      <c r="N1539" t="str">
        <f>"781.64209"</f>
        <v>781.64209</v>
      </c>
      <c r="P1539" t="b">
        <v>0</v>
      </c>
      <c r="R1539" t="str">
        <f>"9780813109893"</f>
        <v>9780813109893</v>
      </c>
      <c r="S1539" t="str">
        <f>"9780813157177"</f>
        <v>9780813157177</v>
      </c>
      <c r="T1539">
        <v>900344495</v>
      </c>
    </row>
    <row r="1540" spans="1:20" x14ac:dyDescent="0.3">
      <c r="A1540">
        <v>938217</v>
      </c>
      <c r="B1540" t="s">
        <v>6799</v>
      </c>
      <c r="D1540" t="s">
        <v>5441</v>
      </c>
      <c r="E1540" t="s">
        <v>5442</v>
      </c>
      <c r="F1540">
        <v>2015</v>
      </c>
      <c r="G1540" t="s">
        <v>6800</v>
      </c>
      <c r="H1540" t="s">
        <v>6801</v>
      </c>
      <c r="I1540" t="s">
        <v>6802</v>
      </c>
      <c r="J1540" t="s">
        <v>24</v>
      </c>
      <c r="K1540" t="s">
        <v>25</v>
      </c>
      <c r="L1540" t="b">
        <v>1</v>
      </c>
      <c r="M1540" t="s">
        <v>6803</v>
      </c>
      <c r="N1540" t="str">
        <f>"863.2"</f>
        <v>863.2</v>
      </c>
      <c r="O1540" t="s">
        <v>6804</v>
      </c>
      <c r="P1540" t="b">
        <v>1</v>
      </c>
      <c r="R1540" t="str">
        <f>"9780813192321"</f>
        <v>9780813192321</v>
      </c>
      <c r="S1540" t="str">
        <f>"9780813159928"</f>
        <v>9780813159928</v>
      </c>
      <c r="T1540">
        <v>900344771</v>
      </c>
    </row>
    <row r="1541" spans="1:20" x14ac:dyDescent="0.3">
      <c r="A1541">
        <v>938214</v>
      </c>
      <c r="B1541" t="s">
        <v>6805</v>
      </c>
      <c r="C1541" t="s">
        <v>6806</v>
      </c>
      <c r="D1541" t="s">
        <v>5441</v>
      </c>
      <c r="E1541" t="s">
        <v>5442</v>
      </c>
      <c r="F1541">
        <v>1993</v>
      </c>
      <c r="G1541" t="s">
        <v>859</v>
      </c>
      <c r="H1541" t="s">
        <v>6807</v>
      </c>
      <c r="I1541" t="s">
        <v>6808</v>
      </c>
      <c r="J1541" t="s">
        <v>24</v>
      </c>
      <c r="K1541" t="s">
        <v>25</v>
      </c>
      <c r="L1541" t="b">
        <v>1</v>
      </c>
      <c r="M1541" t="s">
        <v>6809</v>
      </c>
      <c r="N1541" t="str">
        <f>"398.24/52"</f>
        <v>398.24/52</v>
      </c>
      <c r="O1541" t="s">
        <v>6654</v>
      </c>
      <c r="P1541" t="b">
        <v>0</v>
      </c>
      <c r="R1541" t="str">
        <f>"9780813118123"</f>
        <v>9780813118123</v>
      </c>
      <c r="S1541" t="str">
        <f>"9780813158730"</f>
        <v>9780813158730</v>
      </c>
      <c r="T1541">
        <v>948371804</v>
      </c>
    </row>
    <row r="1542" spans="1:20" x14ac:dyDescent="0.3">
      <c r="A1542">
        <v>938189</v>
      </c>
      <c r="B1542" t="s">
        <v>6810</v>
      </c>
      <c r="C1542" t="s">
        <v>6811</v>
      </c>
      <c r="D1542" t="s">
        <v>5441</v>
      </c>
      <c r="E1542" t="s">
        <v>5442</v>
      </c>
      <c r="F1542">
        <v>2006</v>
      </c>
      <c r="G1542" t="s">
        <v>305</v>
      </c>
      <c r="H1542" t="s">
        <v>6812</v>
      </c>
      <c r="J1542" t="s">
        <v>24</v>
      </c>
      <c r="K1542" t="s">
        <v>25</v>
      </c>
      <c r="L1542" t="b">
        <v>1</v>
      </c>
      <c r="M1542" t="s">
        <v>6813</v>
      </c>
      <c r="N1542" t="str">
        <f>"378.769/47"</f>
        <v>378.769/47</v>
      </c>
      <c r="P1542" t="b">
        <v>0</v>
      </c>
      <c r="R1542" t="str">
        <f>"9780813114200"</f>
        <v>9780813114200</v>
      </c>
      <c r="S1542" t="str">
        <f>"9780813149202"</f>
        <v>9780813149202</v>
      </c>
      <c r="T1542">
        <v>900344736</v>
      </c>
    </row>
    <row r="1543" spans="1:20" x14ac:dyDescent="0.3">
      <c r="A1543">
        <v>938156</v>
      </c>
      <c r="B1543" t="s">
        <v>6814</v>
      </c>
      <c r="D1543" t="s">
        <v>5441</v>
      </c>
      <c r="E1543" t="s">
        <v>5442</v>
      </c>
      <c r="F1543">
        <v>1976</v>
      </c>
      <c r="G1543" t="s">
        <v>2076</v>
      </c>
      <c r="H1543" t="s">
        <v>6815</v>
      </c>
      <c r="I1543" t="s">
        <v>6816</v>
      </c>
      <c r="J1543" t="s">
        <v>24</v>
      </c>
      <c r="K1543" t="s">
        <v>25</v>
      </c>
      <c r="L1543" t="b">
        <v>1</v>
      </c>
      <c r="M1543" t="s">
        <v>6817</v>
      </c>
      <c r="N1543" t="str">
        <f>"071.69"</f>
        <v>071.69</v>
      </c>
      <c r="O1543" t="s">
        <v>6818</v>
      </c>
      <c r="P1543" t="b">
        <v>0</v>
      </c>
      <c r="R1543" t="str">
        <f>"9780813193243"</f>
        <v>9780813193243</v>
      </c>
      <c r="S1543" t="str">
        <f>"9780813150642"</f>
        <v>9780813150642</v>
      </c>
      <c r="T1543">
        <v>900344698</v>
      </c>
    </row>
    <row r="1544" spans="1:20" x14ac:dyDescent="0.3">
      <c r="A1544">
        <v>938115</v>
      </c>
      <c r="B1544" t="s">
        <v>6819</v>
      </c>
      <c r="C1544" t="s">
        <v>6820</v>
      </c>
      <c r="D1544" t="s">
        <v>5441</v>
      </c>
      <c r="E1544" t="s">
        <v>5442</v>
      </c>
      <c r="F1544">
        <v>1993</v>
      </c>
      <c r="G1544" t="s">
        <v>314</v>
      </c>
      <c r="H1544" t="s">
        <v>6821</v>
      </c>
      <c r="I1544" t="s">
        <v>6822</v>
      </c>
      <c r="J1544" t="s">
        <v>24</v>
      </c>
      <c r="K1544" t="s">
        <v>25</v>
      </c>
      <c r="L1544" t="b">
        <v>1</v>
      </c>
      <c r="M1544" t="s">
        <v>6823</v>
      </c>
      <c r="N1544" t="str">
        <f>"427/.974"</f>
        <v>427/.974</v>
      </c>
      <c r="P1544" t="b">
        <v>0</v>
      </c>
      <c r="R1544" t="str">
        <f>"9780813118239"</f>
        <v>9780813118239</v>
      </c>
      <c r="S1544" t="str">
        <f>"9780813148007"</f>
        <v>9780813148007</v>
      </c>
      <c r="T1544">
        <v>900344463</v>
      </c>
    </row>
    <row r="1545" spans="1:20" x14ac:dyDescent="0.3">
      <c r="A1545">
        <v>938101</v>
      </c>
      <c r="B1545" t="s">
        <v>6824</v>
      </c>
      <c r="C1545" t="s">
        <v>6825</v>
      </c>
      <c r="D1545" t="s">
        <v>5441</v>
      </c>
      <c r="E1545" t="s">
        <v>5442</v>
      </c>
      <c r="F1545">
        <v>1994</v>
      </c>
      <c r="G1545" t="s">
        <v>114</v>
      </c>
      <c r="H1545" t="s">
        <v>6826</v>
      </c>
      <c r="I1545" t="s">
        <v>6827</v>
      </c>
      <c r="J1545" t="s">
        <v>24</v>
      </c>
      <c r="K1545" t="s">
        <v>25</v>
      </c>
      <c r="L1545" t="b">
        <v>1</v>
      </c>
      <c r="M1545" t="s">
        <v>6828</v>
      </c>
      <c r="N1545" t="str">
        <f>"070/.92/273"</f>
        <v>070/.92/273</v>
      </c>
      <c r="P1545" t="b">
        <v>0</v>
      </c>
      <c r="R1545" t="str">
        <f>"9780813118611"</f>
        <v>9780813118611</v>
      </c>
      <c r="S1545" t="str">
        <f>"9780813149059"</f>
        <v>9780813149059</v>
      </c>
      <c r="T1545">
        <v>900344150</v>
      </c>
    </row>
    <row r="1546" spans="1:20" x14ac:dyDescent="0.3">
      <c r="A1546">
        <v>938095</v>
      </c>
      <c r="B1546" t="s">
        <v>6829</v>
      </c>
      <c r="C1546" t="s">
        <v>6830</v>
      </c>
      <c r="D1546" t="s">
        <v>5441</v>
      </c>
      <c r="E1546" t="s">
        <v>5442</v>
      </c>
      <c r="F1546">
        <v>1978</v>
      </c>
      <c r="G1546" t="s">
        <v>569</v>
      </c>
      <c r="H1546" t="s">
        <v>6831</v>
      </c>
      <c r="I1546" t="s">
        <v>6832</v>
      </c>
      <c r="J1546" t="s">
        <v>24</v>
      </c>
      <c r="K1546" t="s">
        <v>25</v>
      </c>
      <c r="L1546" t="b">
        <v>1</v>
      </c>
      <c r="M1546" t="s">
        <v>6833</v>
      </c>
      <c r="N1546" t="str">
        <f>"861/.1/09"</f>
        <v>861/.1/09</v>
      </c>
      <c r="O1546" t="s">
        <v>6654</v>
      </c>
      <c r="P1546" t="b">
        <v>0</v>
      </c>
      <c r="R1546" t="str">
        <f>"9780813113814"</f>
        <v>9780813113814</v>
      </c>
      <c r="S1546" t="str">
        <f>"9780813147666"</f>
        <v>9780813147666</v>
      </c>
      <c r="T1546">
        <v>900344441</v>
      </c>
    </row>
    <row r="1547" spans="1:20" x14ac:dyDescent="0.3">
      <c r="A1547">
        <v>938088</v>
      </c>
      <c r="B1547" t="s">
        <v>6834</v>
      </c>
      <c r="D1547" t="s">
        <v>5441</v>
      </c>
      <c r="E1547" t="s">
        <v>5442</v>
      </c>
      <c r="F1547">
        <v>1977</v>
      </c>
      <c r="G1547" t="s">
        <v>6835</v>
      </c>
      <c r="H1547" t="s">
        <v>6836</v>
      </c>
      <c r="I1547" t="s">
        <v>6837</v>
      </c>
      <c r="J1547" t="s">
        <v>24</v>
      </c>
      <c r="K1547" t="s">
        <v>25</v>
      </c>
      <c r="L1547" t="b">
        <v>1</v>
      </c>
      <c r="M1547" t="s">
        <v>6838</v>
      </c>
      <c r="N1547" t="str">
        <f>"813/.5/2"</f>
        <v>813/.5/2</v>
      </c>
      <c r="P1547" t="b">
        <v>0</v>
      </c>
      <c r="R1547" t="str">
        <f>"9780813102085"</f>
        <v>9780813102085</v>
      </c>
      <c r="S1547" t="str">
        <f>"9780813148892"</f>
        <v>9780813148892</v>
      </c>
      <c r="T1547">
        <v>900344432</v>
      </c>
    </row>
    <row r="1548" spans="1:20" x14ac:dyDescent="0.3">
      <c r="A1548">
        <v>938047</v>
      </c>
      <c r="B1548" t="s">
        <v>6839</v>
      </c>
      <c r="D1548" t="s">
        <v>5441</v>
      </c>
      <c r="E1548" t="s">
        <v>5442</v>
      </c>
      <c r="F1548">
        <v>1994</v>
      </c>
      <c r="G1548" t="s">
        <v>114</v>
      </c>
      <c r="H1548" t="s">
        <v>6840</v>
      </c>
      <c r="I1548" t="s">
        <v>6841</v>
      </c>
      <c r="J1548" t="s">
        <v>24</v>
      </c>
      <c r="K1548" t="s">
        <v>25</v>
      </c>
      <c r="L1548" t="b">
        <v>1</v>
      </c>
      <c r="M1548" t="s">
        <v>6842</v>
      </c>
      <c r="N1548" t="str">
        <f>"792/.022"</f>
        <v>792/.022</v>
      </c>
      <c r="O1548" t="s">
        <v>6843</v>
      </c>
      <c r="P1548" t="b">
        <v>0</v>
      </c>
      <c r="R1548" t="str">
        <f>"9780813118628"</f>
        <v>9780813118628</v>
      </c>
      <c r="S1548" t="str">
        <f>"9780813149967"</f>
        <v>9780813149967</v>
      </c>
      <c r="T1548">
        <v>900344348</v>
      </c>
    </row>
    <row r="1549" spans="1:20" x14ac:dyDescent="0.3">
      <c r="A1549">
        <v>938042</v>
      </c>
      <c r="B1549" t="s">
        <v>6844</v>
      </c>
      <c r="C1549" t="s">
        <v>6845</v>
      </c>
      <c r="D1549" t="s">
        <v>5441</v>
      </c>
      <c r="E1549" t="s">
        <v>5442</v>
      </c>
      <c r="F1549">
        <v>1963</v>
      </c>
      <c r="G1549" t="s">
        <v>145</v>
      </c>
      <c r="H1549" t="s">
        <v>6846</v>
      </c>
      <c r="J1549" t="s">
        <v>24</v>
      </c>
      <c r="K1549" t="s">
        <v>25</v>
      </c>
      <c r="L1549" t="b">
        <v>1</v>
      </c>
      <c r="M1549" t="s">
        <v>6847</v>
      </c>
      <c r="N1549" t="str">
        <f>"823.9"</f>
        <v>823.9</v>
      </c>
      <c r="P1549" t="b">
        <v>0</v>
      </c>
      <c r="R1549" t="str">
        <f>"9780813101149"</f>
        <v>9780813101149</v>
      </c>
      <c r="S1549" t="str">
        <f>"9780813150536"</f>
        <v>9780813150536</v>
      </c>
      <c r="T1549">
        <v>948808124</v>
      </c>
    </row>
    <row r="1550" spans="1:20" x14ac:dyDescent="0.3">
      <c r="A1550">
        <v>938041</v>
      </c>
      <c r="B1550" t="s">
        <v>6844</v>
      </c>
      <c r="C1550" t="s">
        <v>6848</v>
      </c>
      <c r="D1550" t="s">
        <v>5441</v>
      </c>
      <c r="E1550" t="s">
        <v>5442</v>
      </c>
      <c r="F1550">
        <v>1979</v>
      </c>
      <c r="G1550" t="s">
        <v>6849</v>
      </c>
      <c r="H1550" t="s">
        <v>6846</v>
      </c>
      <c r="J1550" t="s">
        <v>24</v>
      </c>
      <c r="K1550" t="s">
        <v>25</v>
      </c>
      <c r="L1550" t="b">
        <v>1</v>
      </c>
      <c r="M1550" t="s">
        <v>6850</v>
      </c>
      <c r="N1550" t="str">
        <f>"823.912"</f>
        <v>823.912</v>
      </c>
      <c r="P1550" t="b">
        <v>1</v>
      </c>
      <c r="R1550" t="str">
        <f>"9780813193038"</f>
        <v>9780813193038</v>
      </c>
      <c r="S1550" t="str">
        <f>"9780813150529"</f>
        <v>9780813150529</v>
      </c>
      <c r="T1550">
        <v>900344369</v>
      </c>
    </row>
    <row r="1551" spans="1:20" x14ac:dyDescent="0.3">
      <c r="A1551">
        <v>938020</v>
      </c>
      <c r="B1551" t="s">
        <v>6851</v>
      </c>
      <c r="C1551" t="s">
        <v>6852</v>
      </c>
      <c r="D1551" t="s">
        <v>5441</v>
      </c>
      <c r="E1551" t="s">
        <v>5442</v>
      </c>
      <c r="F1551">
        <v>1987</v>
      </c>
      <c r="G1551" t="s">
        <v>145</v>
      </c>
      <c r="H1551" t="s">
        <v>6853</v>
      </c>
      <c r="I1551" t="s">
        <v>6854</v>
      </c>
      <c r="J1551" t="s">
        <v>24</v>
      </c>
      <c r="K1551" t="s">
        <v>25</v>
      </c>
      <c r="L1551" t="b">
        <v>1</v>
      </c>
      <c r="M1551" t="s">
        <v>6855</v>
      </c>
      <c r="N1551" t="str">
        <f>"823/.6"</f>
        <v>823/.6</v>
      </c>
      <c r="P1551" t="b">
        <v>0</v>
      </c>
      <c r="R1551" t="str">
        <f>"9780813116334"</f>
        <v>9780813116334</v>
      </c>
      <c r="S1551" t="str">
        <f>"9780813149721"</f>
        <v>9780813149721</v>
      </c>
      <c r="T1551">
        <v>900343878</v>
      </c>
    </row>
    <row r="1552" spans="1:20" x14ac:dyDescent="0.3">
      <c r="A1552">
        <v>937991</v>
      </c>
      <c r="B1552" t="s">
        <v>6856</v>
      </c>
      <c r="C1552" t="s">
        <v>6857</v>
      </c>
      <c r="D1552" t="s">
        <v>5441</v>
      </c>
      <c r="E1552" t="s">
        <v>5442</v>
      </c>
      <c r="F1552">
        <v>1995</v>
      </c>
      <c r="G1552" t="s">
        <v>145</v>
      </c>
      <c r="H1552" t="s">
        <v>6858</v>
      </c>
      <c r="I1552" t="s">
        <v>6859</v>
      </c>
      <c r="J1552" t="s">
        <v>24</v>
      </c>
      <c r="K1552" t="s">
        <v>25</v>
      </c>
      <c r="L1552" t="b">
        <v>1</v>
      </c>
      <c r="M1552" t="s">
        <v>6860</v>
      </c>
      <c r="N1552" t="str">
        <f>"828/.609"</f>
        <v>828/.609</v>
      </c>
      <c r="P1552" t="b">
        <v>0</v>
      </c>
      <c r="R1552" t="str">
        <f>"9780813119106"</f>
        <v>9780813119106</v>
      </c>
      <c r="S1552" t="str">
        <f>"9780813149486"</f>
        <v>9780813149486</v>
      </c>
      <c r="T1552">
        <v>900344372</v>
      </c>
    </row>
    <row r="1553" spans="1:20" x14ac:dyDescent="0.3">
      <c r="A1553">
        <v>937946</v>
      </c>
      <c r="B1553" t="s">
        <v>6861</v>
      </c>
      <c r="C1553" t="s">
        <v>6862</v>
      </c>
      <c r="D1553" t="s">
        <v>6863</v>
      </c>
      <c r="E1553" t="s">
        <v>6864</v>
      </c>
      <c r="F1553">
        <v>2014</v>
      </c>
      <c r="G1553" t="s">
        <v>3342</v>
      </c>
      <c r="H1553" t="s">
        <v>5057</v>
      </c>
      <c r="I1553" t="s">
        <v>6865</v>
      </c>
      <c r="J1553" t="s">
        <v>24</v>
      </c>
      <c r="K1553" t="s">
        <v>55</v>
      </c>
      <c r="L1553" t="b">
        <v>1</v>
      </c>
      <c r="M1553" t="s">
        <v>6866</v>
      </c>
      <c r="N1553" t="str">
        <f>"370.72"</f>
        <v>370.72</v>
      </c>
      <c r="P1553" t="b">
        <v>0</v>
      </c>
      <c r="R1553" t="str">
        <f>"9780335264469"</f>
        <v>9780335264469</v>
      </c>
      <c r="S1553" t="str">
        <f>"9780335264476"</f>
        <v>9780335264476</v>
      </c>
      <c r="T1553">
        <v>899158620</v>
      </c>
    </row>
    <row r="1554" spans="1:20" x14ac:dyDescent="0.3">
      <c r="A1554">
        <v>933571</v>
      </c>
      <c r="B1554" t="s">
        <v>6867</v>
      </c>
      <c r="D1554" t="s">
        <v>882</v>
      </c>
      <c r="E1554" t="s">
        <v>883</v>
      </c>
      <c r="F1554">
        <v>1991</v>
      </c>
      <c r="G1554" t="s">
        <v>149</v>
      </c>
      <c r="H1554" t="s">
        <v>6868</v>
      </c>
      <c r="I1554" t="s">
        <v>6869</v>
      </c>
      <c r="J1554" t="s">
        <v>24</v>
      </c>
      <c r="K1554" t="s">
        <v>25</v>
      </c>
      <c r="L1554" t="b">
        <v>1</v>
      </c>
      <c r="M1554" t="s">
        <v>2329</v>
      </c>
      <c r="N1554" t="str">
        <f>"821/.8"</f>
        <v>821/.8</v>
      </c>
      <c r="P1554" t="b">
        <v>0</v>
      </c>
      <c r="Q1554" t="b">
        <v>0</v>
      </c>
      <c r="R1554" t="str">
        <f>"9781442623781"</f>
        <v>9781442623781</v>
      </c>
      <c r="S1554" t="str">
        <f>"9781442655560"</f>
        <v>9781442655560</v>
      </c>
      <c r="T1554">
        <v>903968472</v>
      </c>
    </row>
    <row r="1555" spans="1:20" x14ac:dyDescent="0.3">
      <c r="A1555">
        <v>933566</v>
      </c>
      <c r="B1555" t="s">
        <v>6870</v>
      </c>
      <c r="C1555" t="s">
        <v>6871</v>
      </c>
      <c r="D1555" t="s">
        <v>882</v>
      </c>
      <c r="E1555" t="s">
        <v>883</v>
      </c>
      <c r="F1555">
        <v>1995</v>
      </c>
      <c r="G1555" t="s">
        <v>889</v>
      </c>
      <c r="H1555" t="s">
        <v>6872</v>
      </c>
      <c r="I1555" t="s">
        <v>6873</v>
      </c>
      <c r="J1555" t="s">
        <v>24</v>
      </c>
      <c r="K1555" t="s">
        <v>25</v>
      </c>
      <c r="L1555" t="b">
        <v>1</v>
      </c>
      <c r="M1555" t="s">
        <v>6874</v>
      </c>
      <c r="N1555" t="str">
        <f>"361.3/2"</f>
        <v>361.3/2</v>
      </c>
      <c r="P1555" t="b">
        <v>0</v>
      </c>
      <c r="Q1555" t="b">
        <v>0</v>
      </c>
      <c r="R1555" t="str">
        <f>"9780802077264"</f>
        <v>9780802077264</v>
      </c>
      <c r="S1555" t="str">
        <f>"9781442623361"</f>
        <v>9781442623361</v>
      </c>
      <c r="T1555">
        <v>903968159</v>
      </c>
    </row>
    <row r="1556" spans="1:20" x14ac:dyDescent="0.3">
      <c r="A1556">
        <v>933525</v>
      </c>
      <c r="B1556" t="s">
        <v>6875</v>
      </c>
      <c r="C1556" t="s">
        <v>6876</v>
      </c>
      <c r="D1556" t="s">
        <v>882</v>
      </c>
      <c r="E1556" t="s">
        <v>883</v>
      </c>
      <c r="F1556">
        <v>2006</v>
      </c>
      <c r="G1556" t="s">
        <v>889</v>
      </c>
      <c r="H1556" t="s">
        <v>6877</v>
      </c>
      <c r="I1556" t="s">
        <v>6878</v>
      </c>
      <c r="J1556" t="s">
        <v>24</v>
      </c>
      <c r="K1556" t="s">
        <v>25</v>
      </c>
      <c r="L1556" t="b">
        <v>1</v>
      </c>
      <c r="M1556" t="s">
        <v>6879</v>
      </c>
      <c r="N1556" t="str">
        <f>"362.29/5/097109046"</f>
        <v>362.29/5/097109046</v>
      </c>
      <c r="P1556" t="b">
        <v>0</v>
      </c>
      <c r="Q1556" t="b">
        <v>0</v>
      </c>
      <c r="R1556" t="str">
        <f>"9780802093790"</f>
        <v>9780802093790</v>
      </c>
      <c r="S1556" t="str">
        <f>"9781442627949"</f>
        <v>9781442627949</v>
      </c>
      <c r="T1556">
        <v>904376499</v>
      </c>
    </row>
    <row r="1557" spans="1:20" x14ac:dyDescent="0.3">
      <c r="A1557">
        <v>933477</v>
      </c>
      <c r="B1557" t="s">
        <v>6880</v>
      </c>
      <c r="D1557" t="s">
        <v>882</v>
      </c>
      <c r="E1557" t="s">
        <v>883</v>
      </c>
      <c r="F1557">
        <v>1986</v>
      </c>
      <c r="G1557" t="s">
        <v>149</v>
      </c>
      <c r="H1557" t="s">
        <v>6881</v>
      </c>
      <c r="I1557" t="s">
        <v>6882</v>
      </c>
      <c r="J1557" t="s">
        <v>24</v>
      </c>
      <c r="K1557" t="s">
        <v>25</v>
      </c>
      <c r="L1557" t="b">
        <v>1</v>
      </c>
      <c r="M1557" t="s">
        <v>6883</v>
      </c>
      <c r="N1557" t="str">
        <f>"821/.8"</f>
        <v>821/.8</v>
      </c>
      <c r="O1557" t="s">
        <v>6297</v>
      </c>
      <c r="P1557" t="b">
        <v>0</v>
      </c>
      <c r="Q1557" t="b">
        <v>0</v>
      </c>
      <c r="R1557" t="str">
        <f>"9780802074133"</f>
        <v>9780802074133</v>
      </c>
      <c r="S1557" t="str">
        <f>"9781442623439"</f>
        <v>9781442623439</v>
      </c>
      <c r="T1557">
        <v>558229643</v>
      </c>
    </row>
    <row r="1558" spans="1:20" x14ac:dyDescent="0.3">
      <c r="A1558">
        <v>933473</v>
      </c>
      <c r="B1558" t="s">
        <v>6884</v>
      </c>
      <c r="C1558" t="s">
        <v>6885</v>
      </c>
      <c r="D1558" t="s">
        <v>882</v>
      </c>
      <c r="E1558" t="s">
        <v>883</v>
      </c>
      <c r="F1558">
        <v>1997</v>
      </c>
      <c r="G1558" t="s">
        <v>889</v>
      </c>
      <c r="H1558" t="s">
        <v>6886</v>
      </c>
      <c r="I1558" t="s">
        <v>6887</v>
      </c>
      <c r="J1558" t="s">
        <v>24</v>
      </c>
      <c r="K1558" t="s">
        <v>25</v>
      </c>
      <c r="L1558" t="b">
        <v>1</v>
      </c>
      <c r="M1558" t="s">
        <v>6888</v>
      </c>
      <c r="N1558" t="str">
        <f>"362.29"</f>
        <v>362.29</v>
      </c>
      <c r="P1558" t="b">
        <v>0</v>
      </c>
      <c r="Q1558" t="b">
        <v>0</v>
      </c>
      <c r="R1558" t="str">
        <f>"9780802078056"</f>
        <v>9780802078056</v>
      </c>
      <c r="S1558" t="str">
        <f>"9781442657533"</f>
        <v>9781442657533</v>
      </c>
      <c r="T1558">
        <v>903968426</v>
      </c>
    </row>
    <row r="1559" spans="1:20" x14ac:dyDescent="0.3">
      <c r="A1559">
        <v>933448</v>
      </c>
      <c r="B1559" t="s">
        <v>6889</v>
      </c>
      <c r="C1559" t="s">
        <v>6890</v>
      </c>
      <c r="D1559" t="s">
        <v>882</v>
      </c>
      <c r="E1559" t="s">
        <v>883</v>
      </c>
      <c r="F1559">
        <v>1993</v>
      </c>
      <c r="G1559" t="s">
        <v>6891</v>
      </c>
      <c r="H1559" t="s">
        <v>6892</v>
      </c>
      <c r="I1559" t="s">
        <v>6893</v>
      </c>
      <c r="J1559" t="s">
        <v>24</v>
      </c>
      <c r="K1559" t="s">
        <v>25</v>
      </c>
      <c r="L1559" t="b">
        <v>1</v>
      </c>
      <c r="M1559" t="s">
        <v>6894</v>
      </c>
      <c r="N1559" t="str">
        <f>"362.4/1"</f>
        <v>362.4/1</v>
      </c>
      <c r="P1559" t="b">
        <v>0</v>
      </c>
      <c r="Q1559" t="b">
        <v>0</v>
      </c>
      <c r="R1559" t="str">
        <f>"9780802077875"</f>
        <v>9780802077875</v>
      </c>
      <c r="S1559" t="str">
        <f>"9781442657359"</f>
        <v>9781442657359</v>
      </c>
      <c r="T1559">
        <v>900633150</v>
      </c>
    </row>
    <row r="1560" spans="1:20" x14ac:dyDescent="0.3">
      <c r="A1560">
        <v>933405</v>
      </c>
      <c r="B1560" t="s">
        <v>6895</v>
      </c>
      <c r="C1560" t="s">
        <v>6896</v>
      </c>
      <c r="D1560" t="s">
        <v>882</v>
      </c>
      <c r="E1560" t="s">
        <v>883</v>
      </c>
      <c r="F1560">
        <v>2003</v>
      </c>
      <c r="G1560" t="s">
        <v>3242</v>
      </c>
      <c r="H1560" t="s">
        <v>6897</v>
      </c>
      <c r="I1560" t="s">
        <v>6898</v>
      </c>
      <c r="J1560" t="s">
        <v>24</v>
      </c>
      <c r="K1560" t="s">
        <v>25</v>
      </c>
      <c r="L1560" t="b">
        <v>1</v>
      </c>
      <c r="M1560" t="s">
        <v>6899</v>
      </c>
      <c r="N1560" t="str">
        <f>"363.4/2/0971"</f>
        <v>363.4/2/0971</v>
      </c>
      <c r="P1560" t="b">
        <v>0</v>
      </c>
      <c r="Q1560" t="b">
        <v>0</v>
      </c>
      <c r="R1560" t="str">
        <f>"9780802084415"</f>
        <v>9780802084415</v>
      </c>
      <c r="S1560" t="str">
        <f>"9781442621008"</f>
        <v>9781442621008</v>
      </c>
      <c r="T1560">
        <v>903968396</v>
      </c>
    </row>
    <row r="1561" spans="1:20" x14ac:dyDescent="0.3">
      <c r="A1561">
        <v>929393</v>
      </c>
      <c r="B1561" t="s">
        <v>6900</v>
      </c>
      <c r="D1561" t="s">
        <v>3556</v>
      </c>
      <c r="E1561" t="s">
        <v>6901</v>
      </c>
      <c r="F1561">
        <v>2003</v>
      </c>
      <c r="G1561" t="s">
        <v>287</v>
      </c>
      <c r="H1561" t="s">
        <v>6902</v>
      </c>
      <c r="I1561" t="s">
        <v>6903</v>
      </c>
      <c r="J1561" t="s">
        <v>24</v>
      </c>
      <c r="K1561" t="s">
        <v>269</v>
      </c>
      <c r="L1561" t="b">
        <v>1</v>
      </c>
      <c r="M1561" t="s">
        <v>6904</v>
      </c>
      <c r="N1561" t="str">
        <f>"121.34"</f>
        <v>121.34</v>
      </c>
      <c r="O1561" t="s">
        <v>6905</v>
      </c>
      <c r="P1561" t="b">
        <v>0</v>
      </c>
      <c r="R1561" t="str">
        <f>"9781902683591"</f>
        <v>9781902683591</v>
      </c>
      <c r="S1561" t="str">
        <f>"9781317489535"</f>
        <v>9781317489535</v>
      </c>
      <c r="T1561">
        <v>715185411</v>
      </c>
    </row>
    <row r="1562" spans="1:20" x14ac:dyDescent="0.3">
      <c r="A1562">
        <v>908891</v>
      </c>
      <c r="B1562" t="s">
        <v>6906</v>
      </c>
      <c r="C1562" t="s">
        <v>6907</v>
      </c>
      <c r="D1562" t="s">
        <v>6462</v>
      </c>
      <c r="E1562" t="s">
        <v>6463</v>
      </c>
      <c r="F1562">
        <v>2008</v>
      </c>
      <c r="G1562" t="s">
        <v>6908</v>
      </c>
      <c r="H1562" t="s">
        <v>6909</v>
      </c>
      <c r="I1562" t="s">
        <v>6910</v>
      </c>
      <c r="J1562" t="s">
        <v>24</v>
      </c>
      <c r="K1562" t="s">
        <v>269</v>
      </c>
      <c r="L1562" t="b">
        <v>1</v>
      </c>
      <c r="M1562" t="s">
        <v>6911</v>
      </c>
      <c r="N1562" t="str">
        <f>"362"</f>
        <v>362</v>
      </c>
      <c r="P1562" t="b">
        <v>0</v>
      </c>
      <c r="R1562" t="str">
        <f>"9780761839392"</f>
        <v>9780761839392</v>
      </c>
      <c r="S1562" t="str">
        <f>"9781461679394"</f>
        <v>9781461679394</v>
      </c>
      <c r="T1562">
        <v>760903064</v>
      </c>
    </row>
    <row r="1563" spans="1:20" x14ac:dyDescent="0.3">
      <c r="A1563">
        <v>859977</v>
      </c>
      <c r="B1563" t="s">
        <v>6912</v>
      </c>
      <c r="C1563" t="s">
        <v>6913</v>
      </c>
      <c r="D1563" t="s">
        <v>4874</v>
      </c>
      <c r="E1563" t="s">
        <v>6914</v>
      </c>
      <c r="F1563">
        <v>2005</v>
      </c>
      <c r="G1563" t="s">
        <v>6915</v>
      </c>
      <c r="H1563" t="s">
        <v>6916</v>
      </c>
      <c r="I1563" t="s">
        <v>6917</v>
      </c>
      <c r="J1563" t="s">
        <v>24</v>
      </c>
      <c r="K1563" t="s">
        <v>25</v>
      </c>
      <c r="L1563" t="b">
        <v>1</v>
      </c>
      <c r="M1563" t="s">
        <v>6918</v>
      </c>
      <c r="N1563" t="str">
        <f>"508.744/5"</f>
        <v>508.744/5</v>
      </c>
      <c r="P1563" t="b">
        <v>0</v>
      </c>
      <c r="R1563" t="str">
        <f>"9781584654650"</f>
        <v>9781584654650</v>
      </c>
      <c r="S1563" t="str">
        <f>"9781611687729"</f>
        <v>9781611687729</v>
      </c>
      <c r="T1563">
        <v>897117145</v>
      </c>
    </row>
    <row r="1564" spans="1:20" x14ac:dyDescent="0.3">
      <c r="A1564">
        <v>831551</v>
      </c>
      <c r="B1564" t="s">
        <v>6919</v>
      </c>
      <c r="C1564" t="s">
        <v>6920</v>
      </c>
      <c r="D1564" t="s">
        <v>4874</v>
      </c>
      <c r="E1564" t="s">
        <v>6914</v>
      </c>
      <c r="F1564">
        <v>2003</v>
      </c>
      <c r="G1564" t="s">
        <v>1391</v>
      </c>
      <c r="H1564" t="s">
        <v>6921</v>
      </c>
      <c r="I1564" t="s">
        <v>6922</v>
      </c>
      <c r="J1564" t="s">
        <v>24</v>
      </c>
      <c r="K1564" t="s">
        <v>25</v>
      </c>
      <c r="L1564" t="b">
        <v>1</v>
      </c>
      <c r="M1564" t="s">
        <v>6923</v>
      </c>
      <c r="N1564" t="str">
        <f>"338.3/725384"</f>
        <v>338.3/725384</v>
      </c>
      <c r="P1564" t="b">
        <v>0</v>
      </c>
      <c r="R1564" t="str">
        <f>"9781584653172"</f>
        <v>9781584653172</v>
      </c>
      <c r="S1564" t="str">
        <f>"9781611687385"</f>
        <v>9781611687385</v>
      </c>
      <c r="T1564">
        <v>654675625</v>
      </c>
    </row>
    <row r="1565" spans="1:20" x14ac:dyDescent="0.3">
      <c r="A1565">
        <v>761147</v>
      </c>
      <c r="B1565" t="s">
        <v>6924</v>
      </c>
      <c r="D1565" t="s">
        <v>4874</v>
      </c>
      <c r="E1565" t="s">
        <v>4894</v>
      </c>
      <c r="F1565">
        <v>2014</v>
      </c>
      <c r="G1565" t="s">
        <v>6925</v>
      </c>
      <c r="H1565" t="s">
        <v>6926</v>
      </c>
      <c r="I1565" t="s">
        <v>6927</v>
      </c>
      <c r="J1565" t="s">
        <v>24</v>
      </c>
      <c r="K1565" t="s">
        <v>25</v>
      </c>
      <c r="L1565" t="b">
        <v>1</v>
      </c>
      <c r="M1565" t="s">
        <v>6928</v>
      </c>
      <c r="N1565" t="str">
        <f>"296.1"</f>
        <v>296.1</v>
      </c>
      <c r="O1565" t="s">
        <v>6929</v>
      </c>
      <c r="P1565" t="b">
        <v>0</v>
      </c>
      <c r="R1565" t="str">
        <f>"9781611686074"</f>
        <v>9781611686074</v>
      </c>
      <c r="S1565" t="str">
        <f>"9781611686098"</f>
        <v>9781611686098</v>
      </c>
      <c r="T1565">
        <v>894511257</v>
      </c>
    </row>
    <row r="1566" spans="1:20" x14ac:dyDescent="0.3">
      <c r="A1566">
        <v>761141</v>
      </c>
      <c r="B1566" t="s">
        <v>6930</v>
      </c>
      <c r="D1566" t="s">
        <v>4874</v>
      </c>
      <c r="E1566" t="s">
        <v>4875</v>
      </c>
      <c r="F1566">
        <v>2014</v>
      </c>
      <c r="G1566" t="s">
        <v>2444</v>
      </c>
      <c r="H1566" t="s">
        <v>6931</v>
      </c>
      <c r="I1566" t="s">
        <v>6932</v>
      </c>
      <c r="J1566" t="s">
        <v>24</v>
      </c>
      <c r="K1566" t="s">
        <v>25</v>
      </c>
      <c r="L1566" t="b">
        <v>1</v>
      </c>
      <c r="M1566" t="s">
        <v>6933</v>
      </c>
      <c r="N1566" t="str">
        <f>"610.711"</f>
        <v>610.711</v>
      </c>
      <c r="P1566" t="b">
        <v>0</v>
      </c>
      <c r="R1566" t="str">
        <f>"9781611686593"</f>
        <v>9781611686593</v>
      </c>
      <c r="S1566" t="str">
        <f>"9781611686616"</f>
        <v>9781611686616</v>
      </c>
      <c r="T1566">
        <v>898213804</v>
      </c>
    </row>
    <row r="1567" spans="1:20" x14ac:dyDescent="0.3">
      <c r="A1567">
        <v>761096</v>
      </c>
      <c r="B1567" t="s">
        <v>6934</v>
      </c>
      <c r="D1567" t="s">
        <v>4874</v>
      </c>
      <c r="E1567" t="s">
        <v>4894</v>
      </c>
      <c r="F1567">
        <v>2014</v>
      </c>
      <c r="G1567" t="s">
        <v>6935</v>
      </c>
      <c r="H1567" t="s">
        <v>6936</v>
      </c>
      <c r="J1567" t="s">
        <v>24</v>
      </c>
      <c r="K1567" t="s">
        <v>25</v>
      </c>
      <c r="L1567" t="b">
        <v>1</v>
      </c>
      <c r="M1567" t="s">
        <v>6937</v>
      </c>
      <c r="N1567" t="str">
        <f>"200.951"</f>
        <v>200.951</v>
      </c>
      <c r="P1567" t="b">
        <v>0</v>
      </c>
      <c r="R1567" t="str">
        <f>"9781611685428"</f>
        <v>9781611685428</v>
      </c>
      <c r="S1567" t="str">
        <f>"9781611685442"</f>
        <v>9781611685442</v>
      </c>
      <c r="T1567">
        <v>872636444</v>
      </c>
    </row>
    <row r="1568" spans="1:20" x14ac:dyDescent="0.3">
      <c r="A1568">
        <v>761094</v>
      </c>
      <c r="B1568" t="s">
        <v>6938</v>
      </c>
      <c r="D1568" t="s">
        <v>4874</v>
      </c>
      <c r="E1568" t="s">
        <v>4894</v>
      </c>
      <c r="F1568">
        <v>2014</v>
      </c>
      <c r="G1568" t="s">
        <v>6939</v>
      </c>
      <c r="H1568" t="s">
        <v>6940</v>
      </c>
      <c r="I1568" t="s">
        <v>6941</v>
      </c>
      <c r="J1568" t="s">
        <v>24</v>
      </c>
      <c r="K1568" t="s">
        <v>25</v>
      </c>
      <c r="L1568" t="b">
        <v>1</v>
      </c>
      <c r="M1568" t="s">
        <v>6942</v>
      </c>
      <c r="N1568" t="str">
        <f>"181/.06094309034"</f>
        <v>181/.06094309034</v>
      </c>
      <c r="O1568" t="s">
        <v>6943</v>
      </c>
      <c r="P1568" t="b">
        <v>0</v>
      </c>
      <c r="R1568" t="str">
        <f>"9781611685787"</f>
        <v>9781611685787</v>
      </c>
      <c r="S1568" t="str">
        <f>"9781611685800"</f>
        <v>9781611685800</v>
      </c>
      <c r="T1568">
        <v>890067750</v>
      </c>
    </row>
    <row r="1569" spans="1:19" x14ac:dyDescent="0.3">
      <c r="A1569">
        <v>758741</v>
      </c>
      <c r="B1569" t="s">
        <v>6944</v>
      </c>
      <c r="C1569" t="s">
        <v>6945</v>
      </c>
      <c r="D1569" t="s">
        <v>45</v>
      </c>
      <c r="E1569" t="s">
        <v>46</v>
      </c>
      <c r="F1569">
        <v>2012</v>
      </c>
      <c r="G1569" t="s">
        <v>6946</v>
      </c>
      <c r="J1569" t="s">
        <v>24</v>
      </c>
      <c r="K1569" t="s">
        <v>25</v>
      </c>
      <c r="L1569" t="b">
        <v>1</v>
      </c>
      <c r="M1569" t="s">
        <v>6947</v>
      </c>
      <c r="O1569" t="s">
        <v>6948</v>
      </c>
      <c r="P1569" t="b">
        <v>0</v>
      </c>
      <c r="R1569" t="str">
        <f>"9783990435700"</f>
        <v>9783990435700</v>
      </c>
      <c r="S1569" t="str">
        <f>"9783990435403"</f>
        <v>9783990435403</v>
      </c>
    </row>
    <row r="1570" spans="1:19" x14ac:dyDescent="0.3">
      <c r="A1570">
        <v>758058</v>
      </c>
      <c r="B1570" t="s">
        <v>6949</v>
      </c>
      <c r="D1570" t="s">
        <v>45</v>
      </c>
      <c r="E1570" t="s">
        <v>45</v>
      </c>
      <c r="F1570">
        <v>2011</v>
      </c>
      <c r="G1570" t="s">
        <v>355</v>
      </c>
      <c r="J1570" t="s">
        <v>24</v>
      </c>
      <c r="K1570" t="s">
        <v>25</v>
      </c>
      <c r="L1570" t="b">
        <v>1</v>
      </c>
      <c r="M1570" t="s">
        <v>6950</v>
      </c>
      <c r="P1570" t="b">
        <v>0</v>
      </c>
      <c r="R1570" t="str">
        <f>"9783598347467"</f>
        <v>9783598347467</v>
      </c>
      <c r="S1570" t="str">
        <f>"9783110956894"</f>
        <v>9783110956894</v>
      </c>
    </row>
    <row r="1571" spans="1:19" x14ac:dyDescent="0.3">
      <c r="A1571">
        <v>758057</v>
      </c>
      <c r="B1571" t="s">
        <v>6951</v>
      </c>
      <c r="D1571" t="s">
        <v>45</v>
      </c>
      <c r="E1571" t="s">
        <v>45</v>
      </c>
      <c r="F1571">
        <v>2011</v>
      </c>
      <c r="G1571" t="s">
        <v>355</v>
      </c>
      <c r="J1571" t="s">
        <v>24</v>
      </c>
      <c r="K1571" t="s">
        <v>25</v>
      </c>
      <c r="L1571" t="b">
        <v>1</v>
      </c>
      <c r="M1571" t="s">
        <v>6952</v>
      </c>
      <c r="P1571" t="b">
        <v>0</v>
      </c>
      <c r="R1571" t="str">
        <f>"9783598342660"</f>
        <v>9783598342660</v>
      </c>
      <c r="S1571" t="str">
        <f>"9783110935905"</f>
        <v>9783110935905</v>
      </c>
    </row>
    <row r="1572" spans="1:19" x14ac:dyDescent="0.3">
      <c r="A1572">
        <v>757119</v>
      </c>
      <c r="B1572" t="s">
        <v>6953</v>
      </c>
      <c r="D1572" t="s">
        <v>45</v>
      </c>
      <c r="E1572" t="s">
        <v>45</v>
      </c>
      <c r="F1572">
        <v>2012</v>
      </c>
      <c r="G1572" t="s">
        <v>324</v>
      </c>
      <c r="J1572" t="s">
        <v>325</v>
      </c>
      <c r="K1572" t="s">
        <v>25</v>
      </c>
      <c r="L1572" t="b">
        <v>1</v>
      </c>
      <c r="M1572" t="s">
        <v>6954</v>
      </c>
      <c r="O1572" t="s">
        <v>327</v>
      </c>
      <c r="P1572" t="b">
        <v>0</v>
      </c>
      <c r="R1572" t="str">
        <f>"9783110280074"</f>
        <v>9783110280074</v>
      </c>
      <c r="S1572" t="str">
        <f>"9783110280944"</f>
        <v>9783110280944</v>
      </c>
    </row>
    <row r="1573" spans="1:19" x14ac:dyDescent="0.3">
      <c r="A1573">
        <v>757118</v>
      </c>
      <c r="B1573" t="s">
        <v>6955</v>
      </c>
      <c r="D1573" t="s">
        <v>45</v>
      </c>
      <c r="E1573" t="s">
        <v>45</v>
      </c>
      <c r="F1573">
        <v>2012</v>
      </c>
      <c r="G1573" t="s">
        <v>324</v>
      </c>
      <c r="J1573" t="s">
        <v>325</v>
      </c>
      <c r="K1573" t="s">
        <v>25</v>
      </c>
      <c r="L1573" t="b">
        <v>1</v>
      </c>
      <c r="M1573" t="s">
        <v>6954</v>
      </c>
      <c r="O1573" t="s">
        <v>327</v>
      </c>
      <c r="P1573" t="b">
        <v>0</v>
      </c>
      <c r="R1573" t="str">
        <f>"9783110280081"</f>
        <v>9783110280081</v>
      </c>
      <c r="S1573" t="str">
        <f>"9783110280968"</f>
        <v>9783110280968</v>
      </c>
    </row>
    <row r="1574" spans="1:19" x14ac:dyDescent="0.3">
      <c r="A1574">
        <v>757117</v>
      </c>
      <c r="B1574" t="s">
        <v>6956</v>
      </c>
      <c r="D1574" t="s">
        <v>45</v>
      </c>
      <c r="E1574" t="s">
        <v>45</v>
      </c>
      <c r="F1574">
        <v>2013</v>
      </c>
      <c r="G1574" t="s">
        <v>324</v>
      </c>
      <c r="J1574" t="s">
        <v>325</v>
      </c>
      <c r="K1574" t="s">
        <v>25</v>
      </c>
      <c r="L1574" t="b">
        <v>1</v>
      </c>
      <c r="M1574" t="s">
        <v>6957</v>
      </c>
      <c r="O1574" t="s">
        <v>327</v>
      </c>
      <c r="P1574" t="b">
        <v>0</v>
      </c>
      <c r="R1574" t="str">
        <f>"9783110277869"</f>
        <v>9783110277869</v>
      </c>
      <c r="S1574" t="str">
        <f>"9783110279245"</f>
        <v>9783110279245</v>
      </c>
    </row>
    <row r="1575" spans="1:19" x14ac:dyDescent="0.3">
      <c r="A1575">
        <v>757116</v>
      </c>
      <c r="B1575" t="s">
        <v>6958</v>
      </c>
      <c r="C1575" t="s">
        <v>6959</v>
      </c>
      <c r="D1575" t="s">
        <v>45</v>
      </c>
      <c r="E1575" t="s">
        <v>45</v>
      </c>
      <c r="F1575">
        <v>2012</v>
      </c>
      <c r="G1575" t="s">
        <v>324</v>
      </c>
      <c r="J1575" t="s">
        <v>325</v>
      </c>
      <c r="K1575" t="s">
        <v>25</v>
      </c>
      <c r="L1575" t="b">
        <v>1</v>
      </c>
      <c r="M1575" t="s">
        <v>6960</v>
      </c>
      <c r="O1575" t="s">
        <v>327</v>
      </c>
      <c r="P1575" t="b">
        <v>0</v>
      </c>
      <c r="R1575" t="str">
        <f>"9783110277845"</f>
        <v>9783110277845</v>
      </c>
      <c r="S1575" t="str">
        <f>"9783110279207"</f>
        <v>9783110279207</v>
      </c>
    </row>
    <row r="1576" spans="1:19" x14ac:dyDescent="0.3">
      <c r="A1576">
        <v>757110</v>
      </c>
      <c r="B1576" t="s">
        <v>6961</v>
      </c>
      <c r="D1576" t="s">
        <v>45</v>
      </c>
      <c r="E1576" t="s">
        <v>45</v>
      </c>
      <c r="F1576">
        <v>2012</v>
      </c>
      <c r="G1576" t="s">
        <v>381</v>
      </c>
      <c r="J1576" t="s">
        <v>325</v>
      </c>
      <c r="K1576" t="s">
        <v>25</v>
      </c>
      <c r="L1576" t="b">
        <v>1</v>
      </c>
      <c r="M1576" t="s">
        <v>6962</v>
      </c>
      <c r="O1576" t="s">
        <v>3955</v>
      </c>
      <c r="P1576" t="b">
        <v>0</v>
      </c>
      <c r="R1576" t="str">
        <f>"9783110252415"</f>
        <v>9783110252415</v>
      </c>
      <c r="S1576" t="str">
        <f>"9783110252484"</f>
        <v>9783110252484</v>
      </c>
    </row>
    <row r="1577" spans="1:19" x14ac:dyDescent="0.3">
      <c r="A1577">
        <v>756958</v>
      </c>
      <c r="B1577" t="s">
        <v>6963</v>
      </c>
      <c r="D1577" t="s">
        <v>45</v>
      </c>
      <c r="E1577" t="s">
        <v>45</v>
      </c>
      <c r="F1577">
        <v>2012</v>
      </c>
      <c r="G1577" t="s">
        <v>3953</v>
      </c>
      <c r="J1577" t="s">
        <v>325</v>
      </c>
      <c r="K1577" t="s">
        <v>25</v>
      </c>
      <c r="L1577" t="b">
        <v>1</v>
      </c>
      <c r="M1577" t="s">
        <v>6964</v>
      </c>
      <c r="O1577" t="s">
        <v>6965</v>
      </c>
      <c r="P1577" t="b">
        <v>1</v>
      </c>
      <c r="R1577" t="str">
        <f>"9783110185430"</f>
        <v>9783110185430</v>
      </c>
      <c r="S1577" t="str">
        <f>"9783110922677"</f>
        <v>9783110922677</v>
      </c>
    </row>
    <row r="1578" spans="1:19" x14ac:dyDescent="0.3">
      <c r="A1578">
        <v>756733</v>
      </c>
      <c r="B1578" t="s">
        <v>6966</v>
      </c>
      <c r="D1578" t="s">
        <v>45</v>
      </c>
      <c r="E1578" t="s">
        <v>45</v>
      </c>
      <c r="F1578">
        <v>2013</v>
      </c>
      <c r="G1578" t="s">
        <v>381</v>
      </c>
      <c r="J1578" t="s">
        <v>325</v>
      </c>
      <c r="K1578" t="s">
        <v>25</v>
      </c>
      <c r="L1578" t="b">
        <v>1</v>
      </c>
      <c r="M1578" t="s">
        <v>6967</v>
      </c>
      <c r="O1578" t="s">
        <v>3955</v>
      </c>
      <c r="P1578" t="b">
        <v>0</v>
      </c>
      <c r="R1578" t="str">
        <f>"9783598715778"</f>
        <v>9783598715778</v>
      </c>
      <c r="S1578" t="str">
        <f>"9783110966183"</f>
        <v>9783110966183</v>
      </c>
    </row>
    <row r="1579" spans="1:19" x14ac:dyDescent="0.3">
      <c r="A1579">
        <v>756731</v>
      </c>
      <c r="B1579" t="s">
        <v>6968</v>
      </c>
      <c r="D1579" t="s">
        <v>45</v>
      </c>
      <c r="E1579" t="s">
        <v>45</v>
      </c>
      <c r="F1579">
        <v>2013</v>
      </c>
      <c r="G1579" t="s">
        <v>381</v>
      </c>
      <c r="J1579" t="s">
        <v>6474</v>
      </c>
      <c r="K1579" t="s">
        <v>25</v>
      </c>
      <c r="L1579" t="b">
        <v>1</v>
      </c>
      <c r="M1579" t="s">
        <v>6969</v>
      </c>
      <c r="O1579" t="s">
        <v>3955</v>
      </c>
      <c r="P1579" t="b">
        <v>0</v>
      </c>
      <c r="R1579" t="str">
        <f>"9783598715266"</f>
        <v>9783598715266</v>
      </c>
      <c r="S1579" t="str">
        <f>"9783110951899"</f>
        <v>9783110951899</v>
      </c>
    </row>
    <row r="1580" spans="1:19" x14ac:dyDescent="0.3">
      <c r="A1580">
        <v>756730</v>
      </c>
      <c r="B1580" t="s">
        <v>6970</v>
      </c>
      <c r="D1580" t="s">
        <v>45</v>
      </c>
      <c r="E1580" t="s">
        <v>45</v>
      </c>
      <c r="F1580">
        <v>2013</v>
      </c>
      <c r="G1580" t="s">
        <v>381</v>
      </c>
      <c r="J1580" t="s">
        <v>325</v>
      </c>
      <c r="K1580" t="s">
        <v>25</v>
      </c>
      <c r="L1580" t="b">
        <v>1</v>
      </c>
      <c r="M1580" t="s">
        <v>6971</v>
      </c>
      <c r="O1580" t="s">
        <v>3955</v>
      </c>
      <c r="P1580" t="b">
        <v>0</v>
      </c>
      <c r="R1580" t="str">
        <f>"9783598714429"</f>
        <v>9783598714429</v>
      </c>
      <c r="S1580" t="str">
        <f>"9783110951202"</f>
        <v>9783110951202</v>
      </c>
    </row>
    <row r="1581" spans="1:19" x14ac:dyDescent="0.3">
      <c r="A1581">
        <v>756699</v>
      </c>
      <c r="B1581" t="s">
        <v>6972</v>
      </c>
      <c r="D1581" t="s">
        <v>45</v>
      </c>
      <c r="E1581" t="s">
        <v>45</v>
      </c>
      <c r="F1581">
        <v>2012</v>
      </c>
      <c r="G1581" t="s">
        <v>114</v>
      </c>
      <c r="J1581" t="s">
        <v>24</v>
      </c>
      <c r="K1581" t="s">
        <v>25</v>
      </c>
      <c r="L1581" t="b">
        <v>1</v>
      </c>
      <c r="M1581" t="s">
        <v>6973</v>
      </c>
      <c r="P1581" t="b">
        <v>0</v>
      </c>
      <c r="R1581" t="str">
        <f>"9783598348075"</f>
        <v>9783598348075</v>
      </c>
      <c r="S1581" t="str">
        <f>"9783110914153"</f>
        <v>9783110914153</v>
      </c>
    </row>
    <row r="1582" spans="1:19" x14ac:dyDescent="0.3">
      <c r="A1582">
        <v>756698</v>
      </c>
      <c r="B1582" t="s">
        <v>6974</v>
      </c>
      <c r="D1582" t="s">
        <v>45</v>
      </c>
      <c r="E1582" t="s">
        <v>45</v>
      </c>
      <c r="F1582">
        <v>2012</v>
      </c>
      <c r="G1582" t="s">
        <v>355</v>
      </c>
      <c r="J1582" t="s">
        <v>24</v>
      </c>
      <c r="K1582" t="s">
        <v>25</v>
      </c>
      <c r="L1582" t="b">
        <v>1</v>
      </c>
      <c r="M1582" t="s">
        <v>6975</v>
      </c>
      <c r="P1582" t="b">
        <v>0</v>
      </c>
      <c r="R1582" t="str">
        <f>"9783598339073"</f>
        <v>9783598339073</v>
      </c>
      <c r="S1582" t="str">
        <f>"9783110949261"</f>
        <v>9783110949261</v>
      </c>
    </row>
    <row r="1583" spans="1:19" x14ac:dyDescent="0.3">
      <c r="A1583">
        <v>756624</v>
      </c>
      <c r="B1583" t="s">
        <v>6976</v>
      </c>
      <c r="C1583" t="s">
        <v>6977</v>
      </c>
      <c r="D1583" t="s">
        <v>45</v>
      </c>
      <c r="E1583" t="s">
        <v>45</v>
      </c>
      <c r="F1583">
        <v>2014</v>
      </c>
      <c r="G1583" t="s">
        <v>6978</v>
      </c>
      <c r="J1583" t="s">
        <v>24</v>
      </c>
      <c r="K1583" t="s">
        <v>25</v>
      </c>
      <c r="L1583" t="b">
        <v>1</v>
      </c>
      <c r="M1583" t="s">
        <v>6979</v>
      </c>
      <c r="O1583" t="s">
        <v>6980</v>
      </c>
      <c r="P1583" t="b">
        <v>0</v>
      </c>
      <c r="R1583" t="str">
        <f>"9783598202797"</f>
        <v>9783598202797</v>
      </c>
      <c r="S1583" t="str">
        <f>"9783110977691"</f>
        <v>9783110977691</v>
      </c>
    </row>
    <row r="1584" spans="1:19" x14ac:dyDescent="0.3">
      <c r="A1584">
        <v>628985</v>
      </c>
      <c r="B1584" t="s">
        <v>6981</v>
      </c>
      <c r="C1584" t="s">
        <v>6982</v>
      </c>
      <c r="D1584" t="s">
        <v>45</v>
      </c>
      <c r="E1584" t="s">
        <v>45</v>
      </c>
      <c r="F1584">
        <v>2013</v>
      </c>
      <c r="G1584" t="s">
        <v>381</v>
      </c>
      <c r="J1584" t="s">
        <v>325</v>
      </c>
      <c r="K1584" t="s">
        <v>25</v>
      </c>
      <c r="L1584" t="b">
        <v>1</v>
      </c>
      <c r="M1584" t="s">
        <v>6983</v>
      </c>
      <c r="O1584" t="s">
        <v>3955</v>
      </c>
      <c r="P1584" t="b">
        <v>0</v>
      </c>
      <c r="R1584" t="str">
        <f>"9783598716638"</f>
        <v>9783598716638</v>
      </c>
      <c r="S1584" t="str">
        <f>"9783110951059"</f>
        <v>9783110951059</v>
      </c>
    </row>
    <row r="1585" spans="1:20" x14ac:dyDescent="0.3">
      <c r="A1585">
        <v>628906</v>
      </c>
      <c r="B1585" t="s">
        <v>6984</v>
      </c>
      <c r="C1585" t="s">
        <v>6985</v>
      </c>
      <c r="D1585" t="s">
        <v>45</v>
      </c>
      <c r="E1585" t="s">
        <v>45</v>
      </c>
      <c r="F1585">
        <v>2013</v>
      </c>
      <c r="G1585" t="s">
        <v>381</v>
      </c>
      <c r="J1585" t="s">
        <v>325</v>
      </c>
      <c r="K1585" t="s">
        <v>25</v>
      </c>
      <c r="L1585" t="b">
        <v>1</v>
      </c>
      <c r="M1585" t="s">
        <v>6986</v>
      </c>
      <c r="O1585" t="s">
        <v>3955</v>
      </c>
      <c r="P1585" t="b">
        <v>0</v>
      </c>
      <c r="R1585" t="str">
        <f>"9783598716713"</f>
        <v>9783598716713</v>
      </c>
      <c r="S1585" t="str">
        <f>"9783110951011"</f>
        <v>9783110951011</v>
      </c>
    </row>
    <row r="1586" spans="1:20" x14ac:dyDescent="0.3">
      <c r="A1586">
        <v>622597</v>
      </c>
      <c r="B1586" t="s">
        <v>6987</v>
      </c>
      <c r="C1586" t="s">
        <v>6988</v>
      </c>
      <c r="D1586" t="s">
        <v>4874</v>
      </c>
      <c r="E1586" t="s">
        <v>6914</v>
      </c>
      <c r="F1586">
        <v>2013</v>
      </c>
      <c r="G1586" t="s">
        <v>3242</v>
      </c>
      <c r="H1586" t="s">
        <v>6989</v>
      </c>
      <c r="I1586" t="s">
        <v>6990</v>
      </c>
      <c r="J1586" t="s">
        <v>24</v>
      </c>
      <c r="K1586" t="s">
        <v>25</v>
      </c>
      <c r="L1586" t="b">
        <v>1</v>
      </c>
      <c r="M1586" t="s">
        <v>6991</v>
      </c>
      <c r="N1586" t="str">
        <f>"363.34/92209743"</f>
        <v>363.34/92209743</v>
      </c>
      <c r="P1586" t="b">
        <v>0</v>
      </c>
      <c r="S1586" t="str">
        <f>"9781611684049"</f>
        <v>9781611684049</v>
      </c>
      <c r="T1586">
        <v>857059651</v>
      </c>
    </row>
    <row r="1587" spans="1:20" x14ac:dyDescent="0.3">
      <c r="A1587">
        <v>612696</v>
      </c>
      <c r="B1587" t="s">
        <v>6992</v>
      </c>
      <c r="C1587" t="s">
        <v>6993</v>
      </c>
      <c r="D1587" t="s">
        <v>6462</v>
      </c>
      <c r="E1587" t="s">
        <v>6463</v>
      </c>
      <c r="F1587">
        <v>2012</v>
      </c>
      <c r="G1587" t="s">
        <v>6994</v>
      </c>
      <c r="H1587" t="s">
        <v>6995</v>
      </c>
      <c r="I1587" t="s">
        <v>6996</v>
      </c>
      <c r="J1587" t="s">
        <v>24</v>
      </c>
      <c r="K1587" t="s">
        <v>269</v>
      </c>
      <c r="L1587" t="b">
        <v>1</v>
      </c>
      <c r="M1587" t="s">
        <v>6997</v>
      </c>
      <c r="N1587" t="str">
        <f>"362.4082"</f>
        <v>362.4082</v>
      </c>
      <c r="P1587" t="b">
        <v>0</v>
      </c>
      <c r="R1587" t="str">
        <f>"9780761859697"</f>
        <v>9780761859697</v>
      </c>
      <c r="S1587" t="str">
        <f>"9780761859703"</f>
        <v>9780761859703</v>
      </c>
      <c r="T1587">
        <v>854521174</v>
      </c>
    </row>
    <row r="1588" spans="1:20" x14ac:dyDescent="0.3">
      <c r="A1588">
        <v>604672</v>
      </c>
      <c r="B1588" t="s">
        <v>6998</v>
      </c>
      <c r="C1588" t="s">
        <v>6999</v>
      </c>
      <c r="D1588" t="s">
        <v>423</v>
      </c>
      <c r="E1588" t="s">
        <v>7000</v>
      </c>
      <c r="F1588">
        <v>2013</v>
      </c>
      <c r="G1588" t="s">
        <v>7001</v>
      </c>
      <c r="J1588" t="s">
        <v>24</v>
      </c>
      <c r="K1588" t="s">
        <v>269</v>
      </c>
      <c r="L1588" t="b">
        <v>1</v>
      </c>
      <c r="M1588" t="s">
        <v>7002</v>
      </c>
      <c r="P1588" t="b">
        <v>0</v>
      </c>
      <c r="S1588" t="str">
        <f>"9781780172002"</f>
        <v>9781780172002</v>
      </c>
    </row>
    <row r="1589" spans="1:20" x14ac:dyDescent="0.3">
      <c r="A1589">
        <v>604671</v>
      </c>
      <c r="B1589" t="s">
        <v>7003</v>
      </c>
      <c r="C1589" t="s">
        <v>6999</v>
      </c>
      <c r="D1589" t="s">
        <v>423</v>
      </c>
      <c r="E1589" t="s">
        <v>7000</v>
      </c>
      <c r="F1589">
        <v>2013</v>
      </c>
      <c r="G1589" t="s">
        <v>7001</v>
      </c>
      <c r="J1589" t="s">
        <v>24</v>
      </c>
      <c r="K1589" t="s">
        <v>269</v>
      </c>
      <c r="L1589" t="b">
        <v>1</v>
      </c>
      <c r="M1589" t="s">
        <v>7002</v>
      </c>
      <c r="P1589" t="b">
        <v>0</v>
      </c>
      <c r="S1589" t="str">
        <f>"9781780172125"</f>
        <v>9781780172125</v>
      </c>
    </row>
    <row r="1590" spans="1:20" x14ac:dyDescent="0.3">
      <c r="A1590">
        <v>604670</v>
      </c>
      <c r="B1590" t="s">
        <v>7004</v>
      </c>
      <c r="C1590" t="s">
        <v>6999</v>
      </c>
      <c r="D1590" t="s">
        <v>423</v>
      </c>
      <c r="E1590" t="s">
        <v>7000</v>
      </c>
      <c r="F1590">
        <v>2013</v>
      </c>
      <c r="G1590" t="s">
        <v>7001</v>
      </c>
      <c r="J1590" t="s">
        <v>24</v>
      </c>
      <c r="K1590" t="s">
        <v>269</v>
      </c>
      <c r="L1590" t="b">
        <v>1</v>
      </c>
      <c r="M1590" t="s">
        <v>7002</v>
      </c>
      <c r="P1590" t="b">
        <v>0</v>
      </c>
      <c r="S1590" t="str">
        <f>"9781780172064"</f>
        <v>9781780172064</v>
      </c>
    </row>
    <row r="1591" spans="1:20" x14ac:dyDescent="0.3">
      <c r="A1591">
        <v>604669</v>
      </c>
      <c r="B1591" t="s">
        <v>7005</v>
      </c>
      <c r="C1591" t="s">
        <v>6999</v>
      </c>
      <c r="D1591" t="s">
        <v>423</v>
      </c>
      <c r="E1591" t="s">
        <v>7000</v>
      </c>
      <c r="F1591">
        <v>2013</v>
      </c>
      <c r="G1591" t="s">
        <v>7001</v>
      </c>
      <c r="J1591" t="s">
        <v>24</v>
      </c>
      <c r="K1591" t="s">
        <v>269</v>
      </c>
      <c r="L1591" t="b">
        <v>1</v>
      </c>
      <c r="M1591" t="s">
        <v>7002</v>
      </c>
      <c r="P1591" t="b">
        <v>0</v>
      </c>
      <c r="S1591" t="str">
        <f>"9781780172033"</f>
        <v>9781780172033</v>
      </c>
    </row>
    <row r="1592" spans="1:20" x14ac:dyDescent="0.3">
      <c r="A1592">
        <v>604668</v>
      </c>
      <c r="B1592" t="s">
        <v>7006</v>
      </c>
      <c r="C1592" t="s">
        <v>6999</v>
      </c>
      <c r="D1592" t="s">
        <v>423</v>
      </c>
      <c r="E1592" t="s">
        <v>7000</v>
      </c>
      <c r="F1592">
        <v>2013</v>
      </c>
      <c r="G1592" t="s">
        <v>7001</v>
      </c>
      <c r="J1592" t="s">
        <v>24</v>
      </c>
      <c r="K1592" t="s">
        <v>269</v>
      </c>
      <c r="L1592" t="b">
        <v>1</v>
      </c>
      <c r="M1592" t="s">
        <v>7002</v>
      </c>
      <c r="P1592" t="b">
        <v>0</v>
      </c>
      <c r="S1592" t="str">
        <f>"9781780172095"</f>
        <v>9781780172095</v>
      </c>
    </row>
    <row r="1593" spans="1:20" x14ac:dyDescent="0.3">
      <c r="A1593">
        <v>593081</v>
      </c>
      <c r="B1593" t="s">
        <v>7007</v>
      </c>
      <c r="C1593" t="s">
        <v>7008</v>
      </c>
      <c r="D1593" t="s">
        <v>4874</v>
      </c>
      <c r="E1593" t="s">
        <v>4875</v>
      </c>
      <c r="F1593">
        <v>2003</v>
      </c>
      <c r="G1593" t="s">
        <v>2763</v>
      </c>
      <c r="H1593" t="s">
        <v>7009</v>
      </c>
      <c r="I1593" t="s">
        <v>7010</v>
      </c>
      <c r="J1593" t="s">
        <v>24</v>
      </c>
      <c r="K1593" t="s">
        <v>25</v>
      </c>
      <c r="L1593" t="b">
        <v>1</v>
      </c>
      <c r="M1593" t="s">
        <v>7011</v>
      </c>
      <c r="N1593" t="str">
        <f>"333.3/234"</f>
        <v>333.3/234</v>
      </c>
      <c r="P1593" t="b">
        <v>0</v>
      </c>
      <c r="R1593" t="str">
        <f>"9781584653509"</f>
        <v>9781584653509</v>
      </c>
      <c r="S1593" t="str">
        <f>"9781611685206"</f>
        <v>9781611685206</v>
      </c>
      <c r="T1593">
        <v>847526687</v>
      </c>
    </row>
    <row r="1594" spans="1:20" x14ac:dyDescent="0.3">
      <c r="A1594">
        <v>592008</v>
      </c>
      <c r="B1594" t="s">
        <v>7012</v>
      </c>
      <c r="C1594" t="s">
        <v>7013</v>
      </c>
      <c r="D1594" t="s">
        <v>423</v>
      </c>
      <c r="E1594" t="s">
        <v>7000</v>
      </c>
      <c r="F1594">
        <v>2012</v>
      </c>
      <c r="G1594" t="s">
        <v>7014</v>
      </c>
      <c r="J1594" t="s">
        <v>24</v>
      </c>
      <c r="K1594" t="s">
        <v>25</v>
      </c>
      <c r="L1594" t="b">
        <v>1</v>
      </c>
      <c r="M1594" t="s">
        <v>7015</v>
      </c>
      <c r="P1594" t="b">
        <v>0</v>
      </c>
      <c r="R1594" t="str">
        <f>"9781780171265"</f>
        <v>9781780171265</v>
      </c>
      <c r="S1594" t="str">
        <f>"9781780171272"</f>
        <v>9781780171272</v>
      </c>
    </row>
    <row r="1595" spans="1:20" x14ac:dyDescent="0.3">
      <c r="A1595">
        <v>572045</v>
      </c>
      <c r="B1595" t="s">
        <v>7016</v>
      </c>
      <c r="C1595" t="s">
        <v>7017</v>
      </c>
      <c r="D1595" t="s">
        <v>423</v>
      </c>
      <c r="E1595" t="s">
        <v>7018</v>
      </c>
      <c r="F1595">
        <v>2013</v>
      </c>
      <c r="G1595" t="s">
        <v>528</v>
      </c>
      <c r="J1595" t="s">
        <v>24</v>
      </c>
      <c r="K1595" t="s">
        <v>269</v>
      </c>
      <c r="L1595" t="b">
        <v>1</v>
      </c>
      <c r="M1595" t="s">
        <v>7019</v>
      </c>
      <c r="P1595" t="b">
        <v>0</v>
      </c>
      <c r="R1595" t="str">
        <f>"9780708321898"</f>
        <v>9780708321898</v>
      </c>
      <c r="S1595" t="str">
        <f>"9780708323618"</f>
        <v>9780708323618</v>
      </c>
    </row>
    <row r="1596" spans="1:20" x14ac:dyDescent="0.3">
      <c r="A1596">
        <v>571997</v>
      </c>
      <c r="B1596" t="s">
        <v>7020</v>
      </c>
      <c r="D1596" t="s">
        <v>423</v>
      </c>
      <c r="E1596" t="s">
        <v>7018</v>
      </c>
      <c r="F1596">
        <v>2011</v>
      </c>
      <c r="G1596" t="s">
        <v>528</v>
      </c>
      <c r="J1596" t="s">
        <v>24</v>
      </c>
      <c r="K1596" t="s">
        <v>269</v>
      </c>
      <c r="L1596" t="b">
        <v>1</v>
      </c>
      <c r="M1596" t="s">
        <v>7021</v>
      </c>
      <c r="P1596" t="b">
        <v>0</v>
      </c>
      <c r="R1596" t="str">
        <f>"9780708324059"</f>
        <v>9780708324059</v>
      </c>
      <c r="S1596" t="str">
        <f>"9780708324066"</f>
        <v>9780708324066</v>
      </c>
    </row>
    <row r="1597" spans="1:20" x14ac:dyDescent="0.3">
      <c r="A1597">
        <v>563163</v>
      </c>
      <c r="B1597" t="s">
        <v>7022</v>
      </c>
      <c r="D1597" t="s">
        <v>6462</v>
      </c>
      <c r="E1597" t="s">
        <v>6463</v>
      </c>
      <c r="F1597">
        <v>2007</v>
      </c>
      <c r="G1597" t="s">
        <v>7023</v>
      </c>
      <c r="H1597" t="s">
        <v>7024</v>
      </c>
      <c r="I1597" t="s">
        <v>7025</v>
      </c>
      <c r="J1597" t="s">
        <v>24</v>
      </c>
      <c r="K1597" t="s">
        <v>269</v>
      </c>
      <c r="L1597" t="b">
        <v>1</v>
      </c>
      <c r="M1597" t="s">
        <v>7026</v>
      </c>
      <c r="N1597" t="str">
        <f>"303.6/9095"</f>
        <v>303.6/9095</v>
      </c>
      <c r="P1597" t="b">
        <v>0</v>
      </c>
      <c r="R1597" t="str">
        <f>"9780761838388"</f>
        <v>9780761838388</v>
      </c>
      <c r="S1597" t="str">
        <f>"9781461679769"</f>
        <v>9781461679769</v>
      </c>
      <c r="T1597">
        <v>839304469</v>
      </c>
    </row>
    <row r="1598" spans="1:20" x14ac:dyDescent="0.3">
      <c r="A1598">
        <v>561960</v>
      </c>
      <c r="B1598" t="s">
        <v>7027</v>
      </c>
      <c r="C1598" t="s">
        <v>7028</v>
      </c>
      <c r="D1598" t="s">
        <v>6462</v>
      </c>
      <c r="E1598" t="s">
        <v>6463</v>
      </c>
      <c r="F1598">
        <v>2009</v>
      </c>
      <c r="G1598" t="s">
        <v>7029</v>
      </c>
      <c r="H1598" t="s">
        <v>7030</v>
      </c>
      <c r="I1598" t="s">
        <v>7031</v>
      </c>
      <c r="J1598" t="s">
        <v>24</v>
      </c>
      <c r="K1598" t="s">
        <v>269</v>
      </c>
      <c r="L1598" t="b">
        <v>1</v>
      </c>
      <c r="M1598" t="s">
        <v>7032</v>
      </c>
      <c r="N1598" t="str">
        <f>"365.3430922768"</f>
        <v>365.3430922768</v>
      </c>
      <c r="P1598" t="b">
        <v>0</v>
      </c>
      <c r="R1598" t="str">
        <f>"9780761848066"</f>
        <v>9780761848066</v>
      </c>
      <c r="S1598" t="str">
        <f>"9780761848073"</f>
        <v>9780761848073</v>
      </c>
      <c r="T1598">
        <v>839546802</v>
      </c>
    </row>
    <row r="1599" spans="1:20" x14ac:dyDescent="0.3">
      <c r="A1599">
        <v>552005</v>
      </c>
      <c r="B1599" t="s">
        <v>7033</v>
      </c>
      <c r="C1599" t="s">
        <v>7034</v>
      </c>
      <c r="D1599" t="s">
        <v>423</v>
      </c>
      <c r="E1599" t="s">
        <v>1266</v>
      </c>
      <c r="F1599">
        <v>2013</v>
      </c>
      <c r="G1599" t="s">
        <v>6482</v>
      </c>
      <c r="H1599" t="s">
        <v>7035</v>
      </c>
      <c r="I1599" t="s">
        <v>7036</v>
      </c>
      <c r="J1599" t="s">
        <v>24</v>
      </c>
      <c r="K1599" t="s">
        <v>269</v>
      </c>
      <c r="L1599" t="b">
        <v>1</v>
      </c>
      <c r="M1599" t="s">
        <v>7037</v>
      </c>
      <c r="N1599" t="str">
        <f>"973.099"</f>
        <v>973.099</v>
      </c>
      <c r="P1599" t="b">
        <v>0</v>
      </c>
      <c r="R1599" t="str">
        <f>"9781841506357"</f>
        <v>9781841506357</v>
      </c>
      <c r="S1599" t="str">
        <f>"9781841507620"</f>
        <v>9781841507620</v>
      </c>
      <c r="T1599">
        <v>830167302</v>
      </c>
    </row>
    <row r="1600" spans="1:20" x14ac:dyDescent="0.3">
      <c r="A1600">
        <v>546677</v>
      </c>
      <c r="B1600" t="s">
        <v>7038</v>
      </c>
      <c r="C1600" t="s">
        <v>7039</v>
      </c>
      <c r="D1600" t="s">
        <v>6462</v>
      </c>
      <c r="E1600" t="s">
        <v>6463</v>
      </c>
      <c r="F1600">
        <v>2010</v>
      </c>
      <c r="G1600" t="s">
        <v>3592</v>
      </c>
      <c r="H1600" t="s">
        <v>7040</v>
      </c>
      <c r="I1600" t="s">
        <v>7041</v>
      </c>
      <c r="J1600" t="s">
        <v>24</v>
      </c>
      <c r="K1600" t="s">
        <v>269</v>
      </c>
      <c r="L1600" t="b">
        <v>1</v>
      </c>
      <c r="M1600" t="s">
        <v>7042</v>
      </c>
      <c r="N1600" t="str">
        <f>"658.4"</f>
        <v>658.4</v>
      </c>
      <c r="P1600" t="b">
        <v>0</v>
      </c>
      <c r="R1600" t="str">
        <f>"9780761849766"</f>
        <v>9780761849766</v>
      </c>
      <c r="S1600" t="str">
        <f>"9780761849773"</f>
        <v>9780761849773</v>
      </c>
      <c r="T1600">
        <v>829370490</v>
      </c>
    </row>
    <row r="1601" spans="1:20" x14ac:dyDescent="0.3">
      <c r="A1601">
        <v>526916</v>
      </c>
      <c r="B1601" t="s">
        <v>7043</v>
      </c>
      <c r="C1601" t="s">
        <v>7044</v>
      </c>
      <c r="D1601" t="s">
        <v>2388</v>
      </c>
      <c r="E1601" t="s">
        <v>2388</v>
      </c>
      <c r="F1601">
        <v>2012</v>
      </c>
      <c r="G1601" t="s">
        <v>60</v>
      </c>
      <c r="H1601" t="s">
        <v>7045</v>
      </c>
      <c r="I1601" t="s">
        <v>7046</v>
      </c>
      <c r="J1601" t="s">
        <v>24</v>
      </c>
      <c r="K1601" t="s">
        <v>25</v>
      </c>
      <c r="L1601" t="b">
        <v>1</v>
      </c>
      <c r="M1601" t="s">
        <v>7047</v>
      </c>
      <c r="N1601" t="str">
        <f>"985.06/4"</f>
        <v>985.06/4</v>
      </c>
      <c r="O1601" t="s">
        <v>2392</v>
      </c>
      <c r="P1601" t="b">
        <v>0</v>
      </c>
      <c r="Q1601" t="b">
        <v>0</v>
      </c>
      <c r="R1601" t="str">
        <f>"9780299289249"</f>
        <v>9780299289249</v>
      </c>
      <c r="S1601" t="str">
        <f>"9780299289232"</f>
        <v>9780299289232</v>
      </c>
      <c r="T1601">
        <v>825179681</v>
      </c>
    </row>
    <row r="1602" spans="1:20" x14ac:dyDescent="0.3">
      <c r="A1602">
        <v>502725</v>
      </c>
      <c r="B1602" t="s">
        <v>7048</v>
      </c>
      <c r="D1602" t="s">
        <v>6462</v>
      </c>
      <c r="E1602" t="s">
        <v>6463</v>
      </c>
      <c r="F1602">
        <v>2009</v>
      </c>
      <c r="G1602" t="s">
        <v>713</v>
      </c>
      <c r="H1602" t="s">
        <v>7049</v>
      </c>
      <c r="I1602" t="s">
        <v>7050</v>
      </c>
      <c r="J1602" t="s">
        <v>24</v>
      </c>
      <c r="K1602" t="s">
        <v>269</v>
      </c>
      <c r="L1602" t="b">
        <v>1</v>
      </c>
      <c r="M1602" t="s">
        <v>7051</v>
      </c>
      <c r="N1602" t="str">
        <f>"364.1510904"</f>
        <v>364.1510904</v>
      </c>
      <c r="P1602" t="b">
        <v>0</v>
      </c>
      <c r="R1602" t="str">
        <f>"9780761840978"</f>
        <v>9780761840978</v>
      </c>
      <c r="S1602" t="str">
        <f>"9780761842224"</f>
        <v>9780761842224</v>
      </c>
      <c r="T1602">
        <v>646706307</v>
      </c>
    </row>
    <row r="1603" spans="1:20" x14ac:dyDescent="0.3">
      <c r="A1603">
        <v>500373</v>
      </c>
      <c r="B1603" t="s">
        <v>7052</v>
      </c>
      <c r="C1603" t="s">
        <v>7053</v>
      </c>
      <c r="D1603" t="s">
        <v>6462</v>
      </c>
      <c r="E1603" t="s">
        <v>6463</v>
      </c>
      <c r="F1603">
        <v>2009</v>
      </c>
      <c r="G1603" t="s">
        <v>5774</v>
      </c>
      <c r="H1603" t="s">
        <v>7054</v>
      </c>
      <c r="I1603" t="s">
        <v>7055</v>
      </c>
      <c r="J1603" t="s">
        <v>24</v>
      </c>
      <c r="K1603" t="s">
        <v>269</v>
      </c>
      <c r="L1603" t="b">
        <v>1</v>
      </c>
      <c r="M1603" t="s">
        <v>7056</v>
      </c>
      <c r="N1603" t="str">
        <f>"361.2/0973"</f>
        <v>361.2/0973</v>
      </c>
      <c r="P1603" t="b">
        <v>0</v>
      </c>
      <c r="R1603" t="str">
        <f>"9780761847199"</f>
        <v>9780761847199</v>
      </c>
      <c r="S1603" t="str">
        <f>"9780761847205"</f>
        <v>9780761847205</v>
      </c>
      <c r="T1603">
        <v>763235517</v>
      </c>
    </row>
    <row r="1604" spans="1:20" x14ac:dyDescent="0.3">
      <c r="A1604">
        <v>500369</v>
      </c>
      <c r="B1604" t="s">
        <v>7057</v>
      </c>
      <c r="C1604" t="s">
        <v>7058</v>
      </c>
      <c r="D1604" t="s">
        <v>6462</v>
      </c>
      <c r="E1604" t="s">
        <v>6463</v>
      </c>
      <c r="F1604">
        <v>2009</v>
      </c>
      <c r="G1604" t="s">
        <v>249</v>
      </c>
      <c r="H1604" t="s">
        <v>7059</v>
      </c>
      <c r="I1604" t="s">
        <v>7060</v>
      </c>
      <c r="J1604" t="s">
        <v>24</v>
      </c>
      <c r="K1604" t="s">
        <v>269</v>
      </c>
      <c r="L1604" t="b">
        <v>1</v>
      </c>
      <c r="M1604" t="s">
        <v>7061</v>
      </c>
      <c r="N1604" t="str">
        <f>"297"</f>
        <v>297</v>
      </c>
      <c r="P1604" t="b">
        <v>0</v>
      </c>
      <c r="R1604" t="str">
        <f>"9780761847489"</f>
        <v>9780761847489</v>
      </c>
      <c r="S1604" t="str">
        <f>"9780761847496"</f>
        <v>9780761847496</v>
      </c>
      <c r="T1604">
        <v>826657986</v>
      </c>
    </row>
    <row r="1605" spans="1:20" x14ac:dyDescent="0.3">
      <c r="A1605">
        <v>494465</v>
      </c>
      <c r="B1605" t="s">
        <v>7062</v>
      </c>
      <c r="C1605" t="s">
        <v>7063</v>
      </c>
      <c r="D1605" t="s">
        <v>6462</v>
      </c>
      <c r="E1605" t="s">
        <v>6463</v>
      </c>
      <c r="F1605">
        <v>2009</v>
      </c>
      <c r="G1605" t="s">
        <v>5774</v>
      </c>
      <c r="H1605" t="s">
        <v>7064</v>
      </c>
      <c r="I1605" t="s">
        <v>7065</v>
      </c>
      <c r="J1605" t="s">
        <v>24</v>
      </c>
      <c r="K1605" t="s">
        <v>269</v>
      </c>
      <c r="L1605" t="b">
        <v>1</v>
      </c>
      <c r="M1605" t="s">
        <v>7066</v>
      </c>
      <c r="N1605" t="str">
        <f>"362.2/04250973"</f>
        <v>362.2/04250973</v>
      </c>
      <c r="P1605" t="b">
        <v>0</v>
      </c>
      <c r="R1605" t="str">
        <f>"9780761848899"</f>
        <v>9780761848899</v>
      </c>
      <c r="S1605" t="str">
        <f>"9780761848905"</f>
        <v>9780761848905</v>
      </c>
      <c r="T1605">
        <v>824363045</v>
      </c>
    </row>
    <row r="1606" spans="1:20" x14ac:dyDescent="0.3">
      <c r="A1606">
        <v>494460</v>
      </c>
      <c r="B1606" t="s">
        <v>7067</v>
      </c>
      <c r="D1606" t="s">
        <v>6462</v>
      </c>
      <c r="E1606" t="s">
        <v>6463</v>
      </c>
      <c r="F1606">
        <v>2009</v>
      </c>
      <c r="G1606" t="s">
        <v>713</v>
      </c>
      <c r="H1606" t="s">
        <v>7068</v>
      </c>
      <c r="I1606" t="s">
        <v>7069</v>
      </c>
      <c r="J1606" t="s">
        <v>24</v>
      </c>
      <c r="K1606" t="s">
        <v>269</v>
      </c>
      <c r="L1606" t="b">
        <v>1</v>
      </c>
      <c r="M1606" t="s">
        <v>7070</v>
      </c>
      <c r="N1606" t="str">
        <f>"320.1"</f>
        <v>320.1</v>
      </c>
      <c r="P1606" t="b">
        <v>0</v>
      </c>
      <c r="R1606" t="str">
        <f>"9780761848080"</f>
        <v>9780761848080</v>
      </c>
      <c r="S1606" t="str">
        <f>"9780761848097"</f>
        <v>9780761848097</v>
      </c>
      <c r="T1606">
        <v>824363040</v>
      </c>
    </row>
    <row r="1607" spans="1:20" x14ac:dyDescent="0.3">
      <c r="A1607">
        <v>494458</v>
      </c>
      <c r="B1607" t="s">
        <v>7071</v>
      </c>
      <c r="C1607" t="s">
        <v>7072</v>
      </c>
      <c r="D1607" t="s">
        <v>6462</v>
      </c>
      <c r="E1607" t="s">
        <v>6463</v>
      </c>
      <c r="F1607">
        <v>2010</v>
      </c>
      <c r="G1607" t="s">
        <v>7073</v>
      </c>
      <c r="H1607" t="s">
        <v>7074</v>
      </c>
      <c r="I1607" t="s">
        <v>7075</v>
      </c>
      <c r="J1607" t="s">
        <v>24</v>
      </c>
      <c r="K1607" t="s">
        <v>269</v>
      </c>
      <c r="L1607" t="b">
        <v>1</v>
      </c>
      <c r="M1607" t="s">
        <v>7076</v>
      </c>
      <c r="N1607" t="str">
        <f>"364.15"</f>
        <v>364.15</v>
      </c>
      <c r="P1607" t="b">
        <v>0</v>
      </c>
      <c r="R1607" t="str">
        <f>"9780761853893"</f>
        <v>9780761853893</v>
      </c>
      <c r="S1607" t="str">
        <f>"9780761853909"</f>
        <v>9780761853909</v>
      </c>
      <c r="T1607">
        <v>824363008</v>
      </c>
    </row>
    <row r="1608" spans="1:20" x14ac:dyDescent="0.3">
      <c r="A1608">
        <v>490276</v>
      </c>
      <c r="B1608" t="s">
        <v>7077</v>
      </c>
      <c r="C1608" t="s">
        <v>7078</v>
      </c>
      <c r="D1608" t="s">
        <v>2388</v>
      </c>
      <c r="E1608" t="s">
        <v>2388</v>
      </c>
      <c r="F1608">
        <v>1969</v>
      </c>
      <c r="G1608" t="s">
        <v>60</v>
      </c>
      <c r="H1608" t="s">
        <v>7079</v>
      </c>
      <c r="I1608" t="s">
        <v>7080</v>
      </c>
      <c r="J1608" t="s">
        <v>24</v>
      </c>
      <c r="K1608" t="s">
        <v>25</v>
      </c>
      <c r="L1608" t="b">
        <v>1</v>
      </c>
      <c r="M1608" t="s">
        <v>7081</v>
      </c>
      <c r="N1608" t="str">
        <f>"338.1/9/577"</f>
        <v>338.1/9/577</v>
      </c>
      <c r="P1608" t="b">
        <v>0</v>
      </c>
      <c r="Q1608" t="b">
        <v>0</v>
      </c>
      <c r="R1608" t="str">
        <f>"9780299052300"</f>
        <v>9780299052300</v>
      </c>
      <c r="S1608" t="str">
        <f>"9780299052331"</f>
        <v>9780299052331</v>
      </c>
      <c r="T1608">
        <v>654704671</v>
      </c>
    </row>
    <row r="1609" spans="1:20" x14ac:dyDescent="0.3">
      <c r="A1609">
        <v>474747</v>
      </c>
      <c r="B1609" t="s">
        <v>7082</v>
      </c>
      <c r="C1609" t="s">
        <v>7083</v>
      </c>
      <c r="D1609" t="s">
        <v>6386</v>
      </c>
      <c r="E1609" t="s">
        <v>6386</v>
      </c>
      <c r="F1609">
        <v>2012</v>
      </c>
      <c r="G1609" t="s">
        <v>753</v>
      </c>
      <c r="H1609" t="s">
        <v>7084</v>
      </c>
      <c r="I1609" t="s">
        <v>7085</v>
      </c>
      <c r="J1609" t="s">
        <v>24</v>
      </c>
      <c r="K1609" t="s">
        <v>25</v>
      </c>
      <c r="L1609" t="b">
        <v>1</v>
      </c>
      <c r="M1609" t="s">
        <v>7086</v>
      </c>
      <c r="N1609" t="str">
        <f>"973.6"</f>
        <v>973.6</v>
      </c>
      <c r="P1609" t="b">
        <v>0</v>
      </c>
      <c r="R1609" t="str">
        <f>"9780813932828"</f>
        <v>9780813932828</v>
      </c>
      <c r="S1609" t="str">
        <f>"9780813932835"</f>
        <v>9780813932835</v>
      </c>
      <c r="T1609">
        <v>806056098</v>
      </c>
    </row>
    <row r="1610" spans="1:20" x14ac:dyDescent="0.3">
      <c r="A1610">
        <v>468474</v>
      </c>
      <c r="B1610" t="s">
        <v>7087</v>
      </c>
      <c r="C1610" t="s">
        <v>7088</v>
      </c>
      <c r="D1610" t="s">
        <v>882</v>
      </c>
      <c r="E1610" t="s">
        <v>883</v>
      </c>
      <c r="F1610">
        <v>2001</v>
      </c>
      <c r="G1610" t="s">
        <v>3242</v>
      </c>
      <c r="H1610" t="s">
        <v>7089</v>
      </c>
      <c r="I1610" t="s">
        <v>7090</v>
      </c>
      <c r="J1610" t="s">
        <v>24</v>
      </c>
      <c r="K1610" t="s">
        <v>25</v>
      </c>
      <c r="L1610" t="b">
        <v>1</v>
      </c>
      <c r="M1610" t="s">
        <v>7091</v>
      </c>
      <c r="N1610" t="str">
        <f>"363.4/1/0971133"</f>
        <v>363.4/1/0971133</v>
      </c>
      <c r="O1610" t="s">
        <v>7092</v>
      </c>
      <c r="P1610" t="b">
        <v>0</v>
      </c>
      <c r="Q1610" t="b">
        <v>0</v>
      </c>
      <c r="R1610" t="str">
        <f>"9780802083777"</f>
        <v>9780802083777</v>
      </c>
      <c r="S1610" t="str">
        <f>"9781442679986"</f>
        <v>9781442679986</v>
      </c>
      <c r="T1610">
        <v>806952652</v>
      </c>
    </row>
    <row r="1611" spans="1:20" x14ac:dyDescent="0.3">
      <c r="A1611">
        <v>414038</v>
      </c>
      <c r="B1611" t="s">
        <v>7093</v>
      </c>
      <c r="C1611" t="s">
        <v>7094</v>
      </c>
      <c r="D1611" t="s">
        <v>6863</v>
      </c>
      <c r="E1611" t="s">
        <v>6864</v>
      </c>
      <c r="F1611">
        <v>2012</v>
      </c>
      <c r="G1611" t="s">
        <v>5620</v>
      </c>
      <c r="H1611" t="s">
        <v>7095</v>
      </c>
      <c r="I1611" t="s">
        <v>7096</v>
      </c>
      <c r="J1611" t="s">
        <v>24</v>
      </c>
      <c r="K1611" t="s">
        <v>25</v>
      </c>
      <c r="L1611" t="b">
        <v>1</v>
      </c>
      <c r="M1611" t="s">
        <v>7097</v>
      </c>
      <c r="N1611" t="str">
        <f>"372.1384"</f>
        <v>372.1384</v>
      </c>
      <c r="P1611" t="b">
        <v>0</v>
      </c>
      <c r="R1611" t="str">
        <f>"9780335243013"</f>
        <v>9780335243013</v>
      </c>
      <c r="S1611" t="str">
        <f>"9780335243020"</f>
        <v>9780335243020</v>
      </c>
      <c r="T1611">
        <v>772398375</v>
      </c>
    </row>
    <row r="1612" spans="1:20" x14ac:dyDescent="0.3">
      <c r="A1612">
        <v>413516</v>
      </c>
      <c r="B1612" t="s">
        <v>7098</v>
      </c>
      <c r="C1612" t="s">
        <v>7099</v>
      </c>
      <c r="D1612" t="s">
        <v>6462</v>
      </c>
      <c r="E1612" t="s">
        <v>6463</v>
      </c>
      <c r="F1612">
        <v>2012</v>
      </c>
      <c r="G1612" t="s">
        <v>1415</v>
      </c>
      <c r="H1612" t="s">
        <v>7100</v>
      </c>
      <c r="I1612" t="s">
        <v>7101</v>
      </c>
      <c r="J1612" t="s">
        <v>24</v>
      </c>
      <c r="K1612" t="s">
        <v>269</v>
      </c>
      <c r="L1612" t="b">
        <v>1</v>
      </c>
      <c r="M1612" t="s">
        <v>7102</v>
      </c>
      <c r="N1612" t="str">
        <f>"306"</f>
        <v>306</v>
      </c>
      <c r="P1612" t="b">
        <v>0</v>
      </c>
      <c r="R1612" t="str">
        <f>"9780761856832"</f>
        <v>9780761856832</v>
      </c>
      <c r="S1612" t="str">
        <f>"9780761856849"</f>
        <v>9780761856849</v>
      </c>
      <c r="T1612">
        <v>768082434</v>
      </c>
    </row>
    <row r="1613" spans="1:20" x14ac:dyDescent="0.3">
      <c r="A1613">
        <v>337512</v>
      </c>
      <c r="B1613" t="s">
        <v>7103</v>
      </c>
      <c r="C1613" t="s">
        <v>7104</v>
      </c>
      <c r="D1613" t="s">
        <v>6462</v>
      </c>
      <c r="E1613" t="s">
        <v>6463</v>
      </c>
      <c r="F1613">
        <v>2010</v>
      </c>
      <c r="G1613" t="s">
        <v>3893</v>
      </c>
      <c r="H1613" t="s">
        <v>7105</v>
      </c>
      <c r="I1613" t="s">
        <v>7106</v>
      </c>
      <c r="J1613" t="s">
        <v>24</v>
      </c>
      <c r="K1613" t="s">
        <v>269</v>
      </c>
      <c r="L1613" t="b">
        <v>1</v>
      </c>
      <c r="M1613" t="s">
        <v>7107</v>
      </c>
      <c r="N1613" t="str">
        <f>"338"</f>
        <v>338</v>
      </c>
      <c r="P1613" t="b">
        <v>0</v>
      </c>
      <c r="R1613" t="str">
        <f>"9780761849889"</f>
        <v>9780761849889</v>
      </c>
      <c r="S1613" t="str">
        <f>"9780761849896"</f>
        <v>9780761849896</v>
      </c>
      <c r="T1613">
        <v>667274256</v>
      </c>
    </row>
    <row r="1614" spans="1:20" x14ac:dyDescent="0.3">
      <c r="A1614">
        <v>337476</v>
      </c>
      <c r="B1614" t="s">
        <v>7108</v>
      </c>
      <c r="D1614" t="s">
        <v>6462</v>
      </c>
      <c r="E1614" t="s">
        <v>6463</v>
      </c>
      <c r="F1614">
        <v>2010</v>
      </c>
      <c r="G1614" t="s">
        <v>3592</v>
      </c>
      <c r="H1614" t="s">
        <v>7109</v>
      </c>
      <c r="I1614" t="s">
        <v>7110</v>
      </c>
      <c r="J1614" t="s">
        <v>24</v>
      </c>
      <c r="K1614" t="s">
        <v>269</v>
      </c>
      <c r="L1614" t="b">
        <v>1</v>
      </c>
      <c r="M1614" t="s">
        <v>7111</v>
      </c>
      <c r="N1614" t="str">
        <f>"301"</f>
        <v>301</v>
      </c>
      <c r="O1614" t="s">
        <v>7112</v>
      </c>
      <c r="P1614" t="b">
        <v>0</v>
      </c>
      <c r="R1614" t="str">
        <f>"9780761850830"</f>
        <v>9780761850830</v>
      </c>
      <c r="S1614" t="str">
        <f>"9780761850847"</f>
        <v>9780761850847</v>
      </c>
      <c r="T1614">
        <v>665843775</v>
      </c>
    </row>
    <row r="1615" spans="1:20" x14ac:dyDescent="0.3">
      <c r="A1615">
        <v>332542</v>
      </c>
      <c r="B1615" t="s">
        <v>7113</v>
      </c>
      <c r="C1615" t="s">
        <v>7114</v>
      </c>
      <c r="D1615" t="s">
        <v>6462</v>
      </c>
      <c r="E1615" t="s">
        <v>6463</v>
      </c>
      <c r="F1615">
        <v>2009</v>
      </c>
      <c r="G1615" t="s">
        <v>7115</v>
      </c>
      <c r="H1615" t="s">
        <v>7116</v>
      </c>
      <c r="I1615" t="s">
        <v>7117</v>
      </c>
      <c r="J1615" t="s">
        <v>24</v>
      </c>
      <c r="K1615" t="s">
        <v>25</v>
      </c>
      <c r="L1615" t="b">
        <v>1</v>
      </c>
      <c r="M1615" t="s">
        <v>7118</v>
      </c>
      <c r="N1615" t="str">
        <f>"360"</f>
        <v>360</v>
      </c>
      <c r="P1615" t="b">
        <v>0</v>
      </c>
      <c r="R1615" t="str">
        <f>"9780761845522"</f>
        <v>9780761845522</v>
      </c>
      <c r="S1615" t="str">
        <f>"9780761845539"</f>
        <v>9780761845539</v>
      </c>
      <c r="T1615">
        <v>659560962</v>
      </c>
    </row>
    <row r="1616" spans="1:20" x14ac:dyDescent="0.3">
      <c r="A1616">
        <v>279063</v>
      </c>
      <c r="B1616" t="s">
        <v>7119</v>
      </c>
      <c r="C1616" t="s">
        <v>7120</v>
      </c>
      <c r="D1616" t="s">
        <v>6462</v>
      </c>
      <c r="E1616" t="s">
        <v>6463</v>
      </c>
      <c r="F1616">
        <v>2009</v>
      </c>
      <c r="G1616" t="s">
        <v>713</v>
      </c>
      <c r="H1616" t="s">
        <v>7121</v>
      </c>
      <c r="I1616" t="s">
        <v>7122</v>
      </c>
      <c r="J1616" t="s">
        <v>24</v>
      </c>
      <c r="K1616" t="s">
        <v>25</v>
      </c>
      <c r="L1616" t="b">
        <v>1</v>
      </c>
      <c r="M1616" t="s">
        <v>7123</v>
      </c>
      <c r="N1616" t="str">
        <f>"306.874"</f>
        <v>306.874</v>
      </c>
      <c r="P1616" t="b">
        <v>0</v>
      </c>
      <c r="R1616" t="str">
        <f>"9780761845362"</f>
        <v>9780761845362</v>
      </c>
      <c r="S1616" t="str">
        <f>"9780761845379"</f>
        <v>9780761845379</v>
      </c>
      <c r="T1616">
        <v>430180637</v>
      </c>
    </row>
    <row r="1617" spans="1:20" x14ac:dyDescent="0.3">
      <c r="A1617">
        <v>279058</v>
      </c>
      <c r="B1617" t="s">
        <v>7124</v>
      </c>
      <c r="D1617" t="s">
        <v>6462</v>
      </c>
      <c r="E1617" t="s">
        <v>6463</v>
      </c>
      <c r="F1617">
        <v>2009</v>
      </c>
      <c r="G1617" t="s">
        <v>2254</v>
      </c>
      <c r="H1617" t="s">
        <v>7125</v>
      </c>
      <c r="I1617" t="s">
        <v>7126</v>
      </c>
      <c r="J1617" t="s">
        <v>24</v>
      </c>
      <c r="K1617" t="s">
        <v>269</v>
      </c>
      <c r="L1617" t="b">
        <v>1</v>
      </c>
      <c r="M1617" t="s">
        <v>7127</v>
      </c>
      <c r="N1617" t="str">
        <f>"365/.43"</f>
        <v>365/.43</v>
      </c>
      <c r="P1617" t="b">
        <v>0</v>
      </c>
      <c r="R1617" t="str">
        <f>"9780761845669"</f>
        <v>9780761845669</v>
      </c>
      <c r="S1617" t="str">
        <f>"9780761845676"</f>
        <v>9780761845676</v>
      </c>
      <c r="T1617">
        <v>444667406</v>
      </c>
    </row>
    <row r="1618" spans="1:20" x14ac:dyDescent="0.3">
      <c r="A1618">
        <v>279048</v>
      </c>
      <c r="B1618" t="s">
        <v>7128</v>
      </c>
      <c r="C1618" t="s">
        <v>7129</v>
      </c>
      <c r="D1618" t="s">
        <v>6462</v>
      </c>
      <c r="E1618" t="s">
        <v>6463</v>
      </c>
      <c r="F1618">
        <v>2009</v>
      </c>
      <c r="G1618" t="s">
        <v>7130</v>
      </c>
      <c r="H1618" t="s">
        <v>7131</v>
      </c>
      <c r="I1618" t="s">
        <v>7110</v>
      </c>
      <c r="J1618" t="s">
        <v>24</v>
      </c>
      <c r="K1618" t="s">
        <v>269</v>
      </c>
      <c r="L1618" t="b">
        <v>1</v>
      </c>
      <c r="M1618" t="s">
        <v>7132</v>
      </c>
      <c r="N1618" t="str">
        <f>"306.8"</f>
        <v>306.8</v>
      </c>
      <c r="O1618" t="s">
        <v>7112</v>
      </c>
      <c r="P1618" t="b">
        <v>0</v>
      </c>
      <c r="R1618" t="str">
        <f>"9780761844853"</f>
        <v>9780761844853</v>
      </c>
      <c r="S1618" t="str">
        <f>"9780761844860"</f>
        <v>9780761844860</v>
      </c>
      <c r="T1618">
        <v>430050465</v>
      </c>
    </row>
    <row r="1619" spans="1:20" x14ac:dyDescent="0.3">
      <c r="A1619">
        <v>271084</v>
      </c>
      <c r="B1619" t="s">
        <v>7133</v>
      </c>
      <c r="C1619" t="s">
        <v>7134</v>
      </c>
      <c r="D1619" t="s">
        <v>6462</v>
      </c>
      <c r="E1619" t="s">
        <v>6463</v>
      </c>
      <c r="F1619">
        <v>2009</v>
      </c>
      <c r="G1619" t="s">
        <v>851</v>
      </c>
      <c r="H1619" t="s">
        <v>7135</v>
      </c>
      <c r="I1619" t="s">
        <v>7136</v>
      </c>
      <c r="J1619" t="s">
        <v>24</v>
      </c>
      <c r="K1619" t="s">
        <v>269</v>
      </c>
      <c r="L1619" t="b">
        <v>1</v>
      </c>
      <c r="M1619" t="s">
        <v>7137</v>
      </c>
      <c r="N1619" t="str">
        <f>"305.8"</f>
        <v>305.8</v>
      </c>
      <c r="P1619" t="b">
        <v>0</v>
      </c>
      <c r="R1619" t="str">
        <f>"9780761843290"</f>
        <v>9780761843290</v>
      </c>
      <c r="S1619" t="str">
        <f>"9780761843313"</f>
        <v>9780761843313</v>
      </c>
      <c r="T1619">
        <v>323205671</v>
      </c>
    </row>
    <row r="1620" spans="1:20" x14ac:dyDescent="0.3">
      <c r="A1620">
        <v>271082</v>
      </c>
      <c r="B1620" t="s">
        <v>7138</v>
      </c>
      <c r="D1620" t="s">
        <v>6462</v>
      </c>
      <c r="E1620" t="s">
        <v>6463</v>
      </c>
      <c r="F1620">
        <v>2009</v>
      </c>
      <c r="G1620" t="s">
        <v>1608</v>
      </c>
      <c r="H1620" t="s">
        <v>7139</v>
      </c>
      <c r="I1620" t="s">
        <v>7140</v>
      </c>
      <c r="J1620" t="s">
        <v>24</v>
      </c>
      <c r="K1620" t="s">
        <v>25</v>
      </c>
      <c r="L1620" t="b">
        <v>1</v>
      </c>
      <c r="M1620" t="s">
        <v>7141</v>
      </c>
      <c r="N1620" t="str">
        <f>"306.7"</f>
        <v>306.7</v>
      </c>
      <c r="P1620" t="b">
        <v>0</v>
      </c>
      <c r="R1620" t="str">
        <f>"9780761844778"</f>
        <v>9780761844778</v>
      </c>
      <c r="S1620" t="str">
        <f>"9780761844785"</f>
        <v>9780761844785</v>
      </c>
      <c r="T1620">
        <v>323168357</v>
      </c>
    </row>
    <row r="1621" spans="1:20" x14ac:dyDescent="0.3">
      <c r="A1621">
        <v>262659</v>
      </c>
      <c r="B1621" t="s">
        <v>7142</v>
      </c>
      <c r="C1621" t="s">
        <v>7143</v>
      </c>
      <c r="D1621" t="s">
        <v>6462</v>
      </c>
      <c r="E1621" t="s">
        <v>6463</v>
      </c>
      <c r="F1621">
        <v>2009</v>
      </c>
      <c r="G1621" t="s">
        <v>7029</v>
      </c>
      <c r="H1621" t="s">
        <v>7144</v>
      </c>
      <c r="I1621" t="s">
        <v>7145</v>
      </c>
      <c r="J1621" t="s">
        <v>24</v>
      </c>
      <c r="K1621" t="s">
        <v>25</v>
      </c>
      <c r="L1621" t="b">
        <v>1</v>
      </c>
      <c r="M1621" t="s">
        <v>7146</v>
      </c>
      <c r="N1621" t="str">
        <f>"301.0922"</f>
        <v>301.0922</v>
      </c>
      <c r="P1621" t="b">
        <v>0</v>
      </c>
      <c r="R1621" t="str">
        <f>"9780761840046"</f>
        <v>9780761840046</v>
      </c>
      <c r="S1621" t="str">
        <f>"9780761841876"</f>
        <v>9780761841876</v>
      </c>
      <c r="T1621">
        <v>311266877</v>
      </c>
    </row>
    <row r="1622" spans="1:20" x14ac:dyDescent="0.3">
      <c r="A1622">
        <v>238328</v>
      </c>
      <c r="B1622" t="s">
        <v>7147</v>
      </c>
      <c r="D1622" t="s">
        <v>6462</v>
      </c>
      <c r="E1622" t="s">
        <v>6463</v>
      </c>
      <c r="F1622">
        <v>2008</v>
      </c>
      <c r="G1622" t="s">
        <v>1620</v>
      </c>
      <c r="H1622" t="s">
        <v>7148</v>
      </c>
      <c r="I1622" t="s">
        <v>7149</v>
      </c>
      <c r="J1622" t="s">
        <v>24</v>
      </c>
      <c r="K1622" t="s">
        <v>25</v>
      </c>
      <c r="L1622" t="b">
        <v>1</v>
      </c>
      <c r="M1622" t="s">
        <v>7150</v>
      </c>
      <c r="N1622" t="str">
        <f>"364.973"</f>
        <v>364.973</v>
      </c>
      <c r="P1622" t="b">
        <v>0</v>
      </c>
      <c r="R1622" t="str">
        <f>"9780761840343"</f>
        <v>9780761840343</v>
      </c>
      <c r="S1622" t="str">
        <f>"9780761841777"</f>
        <v>9780761841777</v>
      </c>
      <c r="T1622">
        <v>251520649</v>
      </c>
    </row>
    <row r="1623" spans="1:20" x14ac:dyDescent="0.3">
      <c r="A1623">
        <v>238327</v>
      </c>
      <c r="B1623" t="s">
        <v>7151</v>
      </c>
      <c r="C1623" t="s">
        <v>7152</v>
      </c>
      <c r="D1623" t="s">
        <v>6462</v>
      </c>
      <c r="E1623" t="s">
        <v>6463</v>
      </c>
      <c r="F1623">
        <v>2008</v>
      </c>
      <c r="G1623" t="s">
        <v>5774</v>
      </c>
      <c r="H1623" t="s">
        <v>7153</v>
      </c>
      <c r="I1623" t="s">
        <v>7154</v>
      </c>
      <c r="J1623" t="s">
        <v>24</v>
      </c>
      <c r="K1623" t="s">
        <v>25</v>
      </c>
      <c r="L1623" t="b">
        <v>1</v>
      </c>
      <c r="M1623" t="s">
        <v>7155</v>
      </c>
      <c r="N1623" t="str">
        <f>"362.50973"</f>
        <v>362.50973</v>
      </c>
      <c r="P1623" t="b">
        <v>0</v>
      </c>
      <c r="R1623" t="str">
        <f>"9780761840459"</f>
        <v>9780761840459</v>
      </c>
      <c r="S1623" t="str">
        <f>"9780761841678"</f>
        <v>9780761841678</v>
      </c>
      <c r="T1623">
        <v>251512034</v>
      </c>
    </row>
    <row r="1624" spans="1:20" x14ac:dyDescent="0.3">
      <c r="A1624">
        <v>144554</v>
      </c>
      <c r="B1624" t="s">
        <v>7156</v>
      </c>
      <c r="C1624" t="s">
        <v>7157</v>
      </c>
      <c r="D1624" t="s">
        <v>1482</v>
      </c>
      <c r="E1624" t="s">
        <v>1482</v>
      </c>
      <c r="F1624">
        <v>2016</v>
      </c>
      <c r="G1624" t="s">
        <v>1221</v>
      </c>
      <c r="J1624" t="s">
        <v>24</v>
      </c>
      <c r="K1624" t="s">
        <v>55</v>
      </c>
      <c r="L1624" t="b">
        <v>1</v>
      </c>
      <c r="M1624" t="s">
        <v>7158</v>
      </c>
      <c r="P1624" t="b">
        <v>0</v>
      </c>
      <c r="R1624" t="str">
        <f>"9780719063183"</f>
        <v>9780719063183</v>
      </c>
      <c r="S1624" t="str">
        <f>"9781847790989"</f>
        <v>9781847790989</v>
      </c>
    </row>
    <row r="1625" spans="1:20" x14ac:dyDescent="0.3">
      <c r="A1625">
        <v>683036</v>
      </c>
      <c r="B1625" t="s">
        <v>7159</v>
      </c>
      <c r="D1625" t="s">
        <v>882</v>
      </c>
      <c r="E1625" t="s">
        <v>883</v>
      </c>
      <c r="F1625">
        <v>2010</v>
      </c>
      <c r="G1625" t="s">
        <v>1501</v>
      </c>
      <c r="H1625" t="s">
        <v>7160</v>
      </c>
      <c r="I1625" t="s">
        <v>7161</v>
      </c>
      <c r="J1625" t="s">
        <v>24</v>
      </c>
      <c r="K1625" t="s">
        <v>25</v>
      </c>
      <c r="L1625" t="b">
        <v>1</v>
      </c>
      <c r="M1625" t="s">
        <v>7162</v>
      </c>
      <c r="N1625" t="str">
        <f>"941.081/92/4"</f>
        <v>941.081/92/4</v>
      </c>
      <c r="O1625" t="s">
        <v>7159</v>
      </c>
      <c r="P1625" t="b">
        <v>0</v>
      </c>
      <c r="Q1625" t="b">
        <v>0</v>
      </c>
      <c r="R1625" t="str">
        <f>"9780802099495"</f>
        <v>9780802099495</v>
      </c>
      <c r="S1625" t="str">
        <f>"9781442697461"</f>
        <v>9781442697461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DD74D1E72354CAAD82EC5CD46C701" ma:contentTypeVersion="5" ma:contentTypeDescription="Create a new document." ma:contentTypeScope="" ma:versionID="c5aa2caebcadc8d3ffdc327cc40e3d43">
  <xsd:schema xmlns:xsd="http://www.w3.org/2001/XMLSchema" xmlns:xs="http://www.w3.org/2001/XMLSchema" xmlns:p="http://schemas.microsoft.com/office/2006/metadata/properties" xmlns:ns2="dba7c750-37b9-4195-b8ff-b18661386c01" targetNamespace="http://schemas.microsoft.com/office/2006/metadata/properties" ma:root="true" ma:fieldsID="4e45d2c4025ad9b4627b927b7d6f376c" ns2:_="">
    <xsd:import namespace="dba7c750-37b9-4195-b8ff-b18661386c01"/>
    <xsd:element name="properties">
      <xsd:complexType>
        <xsd:sequence>
          <xsd:element name="documentManagement">
            <xsd:complexType>
              <xsd:all>
                <xsd:element ref="ns2:Collection_x0020_Type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7c750-37b9-4195-b8ff-b18661386c01" elementFormDefault="qualified">
    <xsd:import namespace="http://schemas.microsoft.com/office/2006/documentManagement/types"/>
    <xsd:import namespace="http://schemas.microsoft.com/office/infopath/2007/PartnerControls"/>
    <xsd:element name="Collection_x0020_Type" ma:index="8" ma:displayName="Collection Type" ma:internalName="Collection_x0020_Type">
      <xsd:simpleType>
        <xsd:restriction base="dms:Choice">
          <xsd:enumeration value="Featured Collection"/>
          <xsd:enumeration value="Spotlight List"/>
          <xsd:enumeration value="Subscription"/>
          <xsd:enumeration value="Subject Se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ection_x0020_Type xmlns="dba7c750-37b9-4195-b8ff-b18661386c01"/>
  </documentManagement>
</p:properties>
</file>

<file path=customXml/itemProps1.xml><?xml version="1.0" encoding="utf-8"?>
<ds:datastoreItem xmlns:ds="http://schemas.openxmlformats.org/officeDocument/2006/customXml" ds:itemID="{2EFA5858-FE77-40CE-BAF3-17F67F611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7c750-37b9-4195-b8ff-b18661386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94D9D-B50E-40CB-B03F-1AC9BC4EC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2CF6CF-D1C7-4F9C-A918-06971158575E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dba7c750-37b9-4195-b8ff-b18661386c0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T. Elwell</dc:creator>
  <cp:lastModifiedBy>Kayla Sommer</cp:lastModifiedBy>
  <cp:lastPrinted>2018-10-04T14:34:45Z</cp:lastPrinted>
  <dcterms:created xsi:type="dcterms:W3CDTF">2018-09-26T17:24:26Z</dcterms:created>
  <dcterms:modified xsi:type="dcterms:W3CDTF">2018-10-11T15:14:39Z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0x010100818DD74D1E72354CAAD82EC5CD46C701</vt:lpwstr>
  </property>
</Properties>
</file>